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521" windowWidth="19320" windowHeight="11100" tabRatio="722" firstSheet="2" activeTab="2"/>
  </bookViews>
  <sheets>
    <sheet name="план2008 тариф с разбивкой" sheetId="1" state="hidden" r:id="rId1"/>
    <sheet name="варіант 1" sheetId="2" state="hidden" r:id="rId2"/>
    <sheet name="2020 план" sheetId="3" r:id="rId3"/>
  </sheets>
  <definedNames>
    <definedName name="_xlnm.Print_Area" localSheetId="2">'2020 план'!$A$1:$AL$35</definedName>
    <definedName name="_xlnm.Print_Area" localSheetId="1">'варіант 1'!$A$1:$S$1</definedName>
    <definedName name="_xlnm.Print_Area" localSheetId="0">'план2008 тариф с разбивкой'!$A$1:$O$97</definedName>
  </definedNames>
  <calcPr fullCalcOnLoad="1"/>
</workbook>
</file>

<file path=xl/sharedStrings.xml><?xml version="1.0" encoding="utf-8"?>
<sst xmlns="http://schemas.openxmlformats.org/spreadsheetml/2006/main" count="323" uniqueCount="145">
  <si>
    <t>кг/Гкал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</si>
  <si>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</si>
  <si>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</si>
  <si>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</si>
  <si>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</si>
  <si>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</si>
  <si>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</si>
  <si>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</si>
  <si>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</si>
  <si>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</si>
  <si>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т.усл.т.</t>
  </si>
  <si>
    <t>Наименование показателей</t>
  </si>
  <si>
    <t>3 кварт.</t>
  </si>
  <si>
    <t>сентябрь</t>
  </si>
  <si>
    <t>4кварт.</t>
  </si>
  <si>
    <t>октябрь</t>
  </si>
  <si>
    <t>ноябрь</t>
  </si>
  <si>
    <t>декабрь</t>
  </si>
  <si>
    <t>Отпуск теплоэнергии котельными 1-6</t>
  </si>
  <si>
    <t>тыс.Гкал</t>
  </si>
  <si>
    <t>Всего расход усл.топлива,</t>
  </si>
  <si>
    <t>в т.ч. Природный газ</t>
  </si>
  <si>
    <t>тыс.м3</t>
  </si>
  <si>
    <t>Потребление активной электроэнергии</t>
  </si>
  <si>
    <t>тыс.кВтч</t>
  </si>
  <si>
    <t>Потребление реактивной эл.энергии</t>
  </si>
  <si>
    <t>Стоки</t>
  </si>
  <si>
    <t>Потребление воды. Всего   (без г/в)</t>
  </si>
  <si>
    <t>%</t>
  </si>
  <si>
    <t>Покупная т/эн. (ОАО"СБ", ЮГОК)</t>
  </si>
  <si>
    <t>Полезный отпуск</t>
  </si>
  <si>
    <t>1 кварт.</t>
  </si>
  <si>
    <t>2 кварт.</t>
  </si>
  <si>
    <t>тыс.кВАрч</t>
  </si>
  <si>
    <t>Исполнитель: инженер ПТО Белая М.Л.</t>
  </si>
  <si>
    <t>№п/п</t>
  </si>
  <si>
    <t>ХОВода на подпитку т/сетей Южн.р-на</t>
  </si>
  <si>
    <t>Техн.вода на подпитку т/сетей Южн.р.</t>
  </si>
  <si>
    <t>Потери т/энергии в т/сетях</t>
  </si>
  <si>
    <t>Выработка тепловой энергии котельными</t>
  </si>
  <si>
    <t>Расход теплоэнергии на собств.нужды котелен</t>
  </si>
  <si>
    <t>Уд. расход эл.энергии на отпуск 1Гкал</t>
  </si>
  <si>
    <t>кВт*час/Гкал</t>
  </si>
  <si>
    <t>Уд. расход воды на отпуск 1Гкал</t>
  </si>
  <si>
    <t>Удельный расход усл.топлива на отпуск 1Гкал</t>
  </si>
  <si>
    <t>м.3/Гкал</t>
  </si>
  <si>
    <t>4 кварт.</t>
  </si>
  <si>
    <t>01.07.2008г.</t>
  </si>
  <si>
    <t>ИСХОДНЫЕ ТЕХНИКО-ЭКОНОМИЧЕСКИЕ ПОКАЗАТЕЛИ ДЛЯ РАСЧЕТА ТАРИФА НА ТЕПЛОВУЮ ЭНЕРГИЮ ГП "Криворожская теплоцентраль"  на 2008 год.</t>
  </si>
  <si>
    <t xml:space="preserve">в тому числі </t>
  </si>
  <si>
    <r>
      <t>в том числе: ГП"</t>
    </r>
    <r>
      <rPr>
        <sz val="8"/>
        <rFont val="Times New Roman"/>
        <family val="1"/>
      </rPr>
      <t>Кривбассшахтозакрытие</t>
    </r>
    <r>
      <rPr>
        <sz val="10"/>
        <rFont val="Times New Roman"/>
        <family val="1"/>
      </rPr>
      <t>"</t>
    </r>
  </si>
  <si>
    <r>
      <t xml:space="preserve">             КП "</t>
    </r>
    <r>
      <rPr>
        <sz val="8"/>
        <rFont val="Times New Roman"/>
        <family val="1"/>
      </rPr>
      <t>Кривбассводоканал</t>
    </r>
    <r>
      <rPr>
        <sz val="10"/>
        <rFont val="Times New Roman"/>
        <family val="1"/>
      </rPr>
      <t>"</t>
    </r>
  </si>
  <si>
    <r>
      <t xml:space="preserve">ИСХОДНЫЕ ТЕХНИКО-ЭКОНОМИЧЕСКИЕ ПОКАЗАТЕЛИ ДЛЯ РАСЧЕТА ТАРИФА НА ТЕПЛОВУЮ ЭНЕРГИЮ ГП "Криворожская теплоцентраль"  на </t>
    </r>
    <r>
      <rPr>
        <b/>
        <sz val="12"/>
        <rFont val="Times New Roman"/>
        <family val="1"/>
      </rPr>
      <t>2008</t>
    </r>
    <r>
      <rPr>
        <b/>
        <sz val="10"/>
        <rFont val="Times New Roman"/>
        <family val="1"/>
      </rPr>
      <t xml:space="preserve"> год.</t>
    </r>
  </si>
  <si>
    <t>тис.грн.</t>
  </si>
  <si>
    <t>отримання коштів по інвестпрограмі</t>
  </si>
  <si>
    <t>2008год</t>
  </si>
  <si>
    <t>рік</t>
  </si>
  <si>
    <t>населення 85,4%</t>
  </si>
  <si>
    <t>бюджетні організації 9,8%</t>
  </si>
  <si>
    <t>інші споживачі  4,8%</t>
  </si>
  <si>
    <t>тис.Гкал</t>
  </si>
  <si>
    <t>наименування показника</t>
  </si>
  <si>
    <t>од.вимір.</t>
  </si>
  <si>
    <t>1квартал</t>
  </si>
  <si>
    <t>січень</t>
  </si>
  <si>
    <t>лютий</t>
  </si>
  <si>
    <t>березень</t>
  </si>
  <si>
    <t>2квартал</t>
  </si>
  <si>
    <t>квітень</t>
  </si>
  <si>
    <t>травень</t>
  </si>
  <si>
    <t>червень</t>
  </si>
  <si>
    <t>3квартал</t>
  </si>
  <si>
    <t>липень</t>
  </si>
  <si>
    <t>сераень</t>
  </si>
  <si>
    <t>вересень</t>
  </si>
  <si>
    <t>4квартал</t>
  </si>
  <si>
    <t>жовтень</t>
  </si>
  <si>
    <t>листопад</t>
  </si>
  <si>
    <t>грудень</t>
  </si>
  <si>
    <t>Відпуск теплоенергії споживачам</t>
  </si>
  <si>
    <t xml:space="preserve">населення </t>
  </si>
  <si>
    <t xml:space="preserve">бюджетні організації </t>
  </si>
  <si>
    <t xml:space="preserve">інші споживачі  </t>
  </si>
  <si>
    <t>грн/Гкал</t>
  </si>
  <si>
    <t>структура тарифів</t>
  </si>
  <si>
    <t>в тому числе</t>
  </si>
  <si>
    <t>год</t>
  </si>
  <si>
    <t>население 85,4%</t>
  </si>
  <si>
    <t>бюджетные организации 9,8%</t>
  </si>
  <si>
    <t>другие потребители 4,8%</t>
  </si>
  <si>
    <t>Полезный отпуск тепловой энергии</t>
  </si>
  <si>
    <r>
      <t xml:space="preserve">Розрахунок визначення обсягу фінансування інвестиційної програми ДП "Криворізька теплоцентраль" на 2014 рік </t>
    </r>
    <r>
      <rPr>
        <sz val="14"/>
        <color indexed="10"/>
        <rFont val="Times New Roman"/>
        <family val="1"/>
      </rPr>
      <t>відповідно до листа вих.№2517/02-08-06 від 10.06.2014</t>
    </r>
  </si>
  <si>
    <t>Начальник ВТВ</t>
  </si>
  <si>
    <t>Бур'ян Р.А.</t>
  </si>
  <si>
    <t>Витяг з розрахунку діючого тарифа на теплову енергію ДП "Криворізька теплоцентраль"</t>
  </si>
  <si>
    <t>черновик</t>
  </si>
  <si>
    <t>тис грн</t>
  </si>
  <si>
    <t>1 квартал</t>
  </si>
  <si>
    <t>2 квартал</t>
  </si>
  <si>
    <t>3 квартал</t>
  </si>
  <si>
    <t>4 квартал</t>
  </si>
  <si>
    <t>1.1.</t>
  </si>
  <si>
    <t>1.2.</t>
  </si>
  <si>
    <t>1.3.</t>
  </si>
  <si>
    <t>одиниця виміру</t>
  </si>
  <si>
    <t>серпень</t>
  </si>
  <si>
    <t>(назва ліцензіата)</t>
  </si>
  <si>
    <t>№ з/п</t>
  </si>
  <si>
    <t>Наименування показників</t>
  </si>
  <si>
    <t>Без ПДВ</t>
  </si>
  <si>
    <t>3.1.</t>
  </si>
  <si>
    <t>3.1.1.</t>
  </si>
  <si>
    <t>3.1.2.</t>
  </si>
  <si>
    <t>3.2.</t>
  </si>
  <si>
    <t>Виробничі інвестиції з прибутку всього, у точу числі:</t>
  </si>
  <si>
    <t>3.2.1.</t>
  </si>
  <si>
    <t>3.2.2.</t>
  </si>
  <si>
    <t>3.2.2.1.</t>
  </si>
  <si>
    <t>3.2.2.2.</t>
  </si>
  <si>
    <t>3.2.2.3.</t>
  </si>
  <si>
    <t>Обсяг реалізації теплової енергії власним споживачам ліцензіата всього, у т. ч. на потреби:</t>
  </si>
  <si>
    <t>на обсяг реалізації власним споживачам ліцензіата всього</t>
  </si>
  <si>
    <t>на обсяг транспортування іншим власникам теплової енергії</t>
  </si>
  <si>
    <t>населення*</t>
  </si>
  <si>
    <t>бюджетних установ*</t>
  </si>
  <si>
    <t>інших споживачів*</t>
  </si>
  <si>
    <t>Обсяг транспортування теплової енергії інших власників тепловими мережами ліцензіата*</t>
  </si>
  <si>
    <t>Виконавець</t>
  </si>
  <si>
    <t>М.П.</t>
  </si>
  <si>
    <t>підпис</t>
  </si>
  <si>
    <t>Амортизаційні відрахування** всього, у т. ч.:</t>
  </si>
  <si>
    <t>бюджетні установи***</t>
  </si>
  <si>
    <t>населення ***</t>
  </si>
  <si>
    <t>інші споживачі  ***</t>
  </si>
  <si>
    <t>Рєпкін К.В.</t>
  </si>
  <si>
    <t>Джерела фінансування інвестиційної програми всьго,   у т. ч.:</t>
  </si>
  <si>
    <t>на обсяг реалізації власним споживачам ліцензіата всього,  у т. ч. для потреб:</t>
  </si>
  <si>
    <t>без Оскола</t>
  </si>
  <si>
    <t>з гозподарч. потребами  в річному плані</t>
  </si>
  <si>
    <t xml:space="preserve">Керівник                                                                                                                                 </t>
  </si>
  <si>
    <t>(підпис)</t>
  </si>
  <si>
    <t>(прізвище, ім’я, по батькові)</t>
  </si>
  <si>
    <t>Кузьменко А.І.</t>
  </si>
  <si>
    <t>Розрахунок обсягу фінансування інвестиційної програми на 2020 рік Ізюмського комунального підприємства теплових мереж</t>
  </si>
  <si>
    <t>Золотарьов В.І.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</si>
</sst>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General_)"/>
    <numFmt numFmtId="181" formatCode="#,##0.000"/>
    <numFmt numFmtId="182" formatCode="[$-FC19]d\ mmmm\ yyyy\ &quot;г.&quot;"/>
    <numFmt numFmtId="183" formatCode="0.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00000"/>
    <numFmt numFmtId="191" formatCode="0.0000000"/>
    <numFmt numFmtId="192" formatCode="0.000000"/>
    <numFmt numFmtId="193" formatCode="0.00000"/>
  </numFmts>
  <fonts count="62">
    <font>
      <sz val="10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1"/>
    </font>
    <font>
      <i/>
      <sz val="10"/>
      <name val="Courier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ourier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5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ourier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0" fillId="0" borderId="10" xfId="0" applyBorder="1" applyAlignment="1">
      <alignment/>
    </xf>
    <xf numFmtId="180" fontId="0" fillId="0" borderId="11" xfId="0" applyBorder="1" applyAlignment="1">
      <alignment/>
    </xf>
    <xf numFmtId="180" fontId="3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180" fontId="4" fillId="0" borderId="12" xfId="0" applyFont="1" applyBorder="1" applyAlignment="1">
      <alignment/>
    </xf>
    <xf numFmtId="180" fontId="4" fillId="0" borderId="13" xfId="0" applyFont="1" applyBorder="1" applyAlignment="1">
      <alignment/>
    </xf>
    <xf numFmtId="180" fontId="6" fillId="0" borderId="12" xfId="0" applyFont="1" applyBorder="1" applyAlignment="1">
      <alignment/>
    </xf>
    <xf numFmtId="180" fontId="4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6" fillId="0" borderId="16" xfId="0" applyFont="1" applyBorder="1" applyAlignment="1">
      <alignment/>
    </xf>
    <xf numFmtId="180" fontId="8" fillId="0" borderId="14" xfId="0" applyFont="1" applyBorder="1" applyAlignment="1">
      <alignment/>
    </xf>
    <xf numFmtId="180" fontId="5" fillId="0" borderId="16" xfId="0" applyFont="1" applyBorder="1" applyAlignment="1">
      <alignment/>
    </xf>
    <xf numFmtId="180" fontId="4" fillId="0" borderId="15" xfId="0" applyFont="1" applyBorder="1" applyAlignment="1">
      <alignment/>
    </xf>
    <xf numFmtId="180" fontId="9" fillId="0" borderId="15" xfId="0" applyFont="1" applyBorder="1" applyAlignment="1">
      <alignment/>
    </xf>
    <xf numFmtId="180" fontId="4" fillId="0" borderId="16" xfId="0" applyFont="1" applyBorder="1" applyAlignment="1">
      <alignment/>
    </xf>
    <xf numFmtId="180" fontId="8" fillId="0" borderId="15" xfId="0" applyFont="1" applyBorder="1" applyAlignment="1">
      <alignment/>
    </xf>
    <xf numFmtId="180" fontId="4" fillId="0" borderId="17" xfId="0" applyFont="1" applyBorder="1" applyAlignment="1">
      <alignment/>
    </xf>
    <xf numFmtId="180" fontId="6" fillId="0" borderId="10" xfId="0" applyFont="1" applyFill="1" applyBorder="1" applyAlignment="1">
      <alignment/>
    </xf>
    <xf numFmtId="180" fontId="4" fillId="0" borderId="17" xfId="0" applyFont="1" applyFill="1" applyBorder="1" applyAlignment="1">
      <alignment/>
    </xf>
    <xf numFmtId="180" fontId="4" fillId="0" borderId="13" xfId="0" applyFont="1" applyFill="1" applyBorder="1" applyAlignment="1">
      <alignment/>
    </xf>
    <xf numFmtId="180" fontId="6" fillId="0" borderId="11" xfId="0" applyFont="1" applyBorder="1" applyAlignment="1">
      <alignment/>
    </xf>
    <xf numFmtId="180" fontId="6" fillId="0" borderId="18" xfId="0" applyFont="1" applyBorder="1" applyAlignment="1">
      <alignment/>
    </xf>
    <xf numFmtId="180" fontId="6" fillId="0" borderId="11" xfId="0" applyFont="1" applyFill="1" applyBorder="1" applyAlignment="1">
      <alignment/>
    </xf>
    <xf numFmtId="180" fontId="6" fillId="0" borderId="18" xfId="0" applyFont="1" applyFill="1" applyBorder="1" applyAlignment="1">
      <alignment/>
    </xf>
    <xf numFmtId="180" fontId="6" fillId="0" borderId="15" xfId="0" applyFont="1" applyFill="1" applyBorder="1" applyAlignment="1">
      <alignment/>
    </xf>
    <xf numFmtId="180" fontId="4" fillId="0" borderId="19" xfId="0" applyFont="1" applyBorder="1" applyAlignment="1">
      <alignment/>
    </xf>
    <xf numFmtId="180" fontId="4" fillId="0" borderId="20" xfId="0" applyFont="1" applyBorder="1" applyAlignment="1">
      <alignment/>
    </xf>
    <xf numFmtId="180" fontId="4" fillId="0" borderId="20" xfId="0" applyFont="1" applyFill="1" applyBorder="1" applyAlignment="1">
      <alignment/>
    </xf>
    <xf numFmtId="180" fontId="4" fillId="0" borderId="21" xfId="0" applyFont="1" applyFill="1" applyBorder="1" applyAlignment="1">
      <alignment/>
    </xf>
    <xf numFmtId="180" fontId="6" fillId="0" borderId="22" xfId="0" applyFont="1" applyBorder="1" applyAlignment="1">
      <alignment/>
    </xf>
    <xf numFmtId="180" fontId="6" fillId="0" borderId="23" xfId="0" applyFont="1" applyFill="1" applyBorder="1" applyAlignment="1">
      <alignment/>
    </xf>
    <xf numFmtId="180" fontId="6" fillId="0" borderId="22" xfId="0" applyFont="1" applyFill="1" applyBorder="1" applyAlignment="1">
      <alignment/>
    </xf>
    <xf numFmtId="180" fontId="4" fillId="0" borderId="11" xfId="0" applyFont="1" applyBorder="1" applyAlignment="1">
      <alignment/>
    </xf>
    <xf numFmtId="180" fontId="4" fillId="0" borderId="18" xfId="0" applyFont="1" applyBorder="1" applyAlignment="1">
      <alignment/>
    </xf>
    <xf numFmtId="180" fontId="4" fillId="0" borderId="11" xfId="0" applyFont="1" applyFill="1" applyBorder="1" applyAlignment="1">
      <alignment/>
    </xf>
    <xf numFmtId="180" fontId="4" fillId="0" borderId="18" xfId="0" applyFont="1" applyFill="1" applyBorder="1" applyAlignment="1">
      <alignment/>
    </xf>
    <xf numFmtId="180" fontId="4" fillId="0" borderId="15" xfId="0" applyFont="1" applyFill="1" applyBorder="1" applyAlignment="1">
      <alignment/>
    </xf>
    <xf numFmtId="180" fontId="6" fillId="0" borderId="16" xfId="0" applyFont="1" applyFill="1" applyBorder="1" applyAlignment="1">
      <alignment/>
    </xf>
    <xf numFmtId="180" fontId="4" fillId="0" borderId="16" xfId="0" applyFont="1" applyFill="1" applyBorder="1" applyAlignment="1">
      <alignment/>
    </xf>
    <xf numFmtId="180" fontId="4" fillId="0" borderId="24" xfId="0" applyFont="1" applyFill="1" applyBorder="1" applyAlignment="1">
      <alignment/>
    </xf>
    <xf numFmtId="180" fontId="6" fillId="33" borderId="11" xfId="0" applyFont="1" applyFill="1" applyBorder="1" applyAlignment="1">
      <alignment/>
    </xf>
    <xf numFmtId="180" fontId="6" fillId="33" borderId="18" xfId="0" applyFont="1" applyFill="1" applyBorder="1" applyAlignment="1">
      <alignment/>
    </xf>
    <xf numFmtId="180" fontId="6" fillId="33" borderId="15" xfId="0" applyFont="1" applyFill="1" applyBorder="1" applyAlignment="1">
      <alignment/>
    </xf>
    <xf numFmtId="180" fontId="6" fillId="33" borderId="19" xfId="0" applyFont="1" applyFill="1" applyBorder="1" applyAlignment="1">
      <alignment/>
    </xf>
    <xf numFmtId="180" fontId="4" fillId="0" borderId="25" xfId="0" applyFont="1" applyBorder="1" applyAlignment="1">
      <alignment/>
    </xf>
    <xf numFmtId="180" fontId="4" fillId="0" borderId="26" xfId="0" applyFont="1" applyBorder="1" applyAlignment="1">
      <alignment/>
    </xf>
    <xf numFmtId="180" fontId="4" fillId="0" borderId="10" xfId="0" applyFont="1" applyBorder="1" applyAlignment="1">
      <alignment/>
    </xf>
    <xf numFmtId="180" fontId="4" fillId="0" borderId="27" xfId="0" applyFont="1" applyBorder="1" applyAlignment="1">
      <alignment/>
    </xf>
    <xf numFmtId="180" fontId="6" fillId="0" borderId="10" xfId="0" applyFont="1" applyBorder="1" applyAlignment="1">
      <alignment/>
    </xf>
    <xf numFmtId="180" fontId="4" fillId="0" borderId="28" xfId="0" applyFont="1" applyBorder="1" applyAlignment="1">
      <alignment/>
    </xf>
    <xf numFmtId="180" fontId="4" fillId="0" borderId="22" xfId="0" applyFont="1" applyBorder="1" applyAlignment="1">
      <alignment/>
    </xf>
    <xf numFmtId="180" fontId="4" fillId="0" borderId="22" xfId="0" applyFont="1" applyFill="1" applyBorder="1" applyAlignment="1">
      <alignment/>
    </xf>
    <xf numFmtId="180" fontId="6" fillId="0" borderId="29" xfId="0" applyFont="1" applyFill="1" applyBorder="1" applyAlignment="1">
      <alignment/>
    </xf>
    <xf numFmtId="180" fontId="6" fillId="33" borderId="16" xfId="0" applyFont="1" applyFill="1" applyBorder="1" applyAlignment="1">
      <alignment/>
    </xf>
    <xf numFmtId="180" fontId="6" fillId="33" borderId="22" xfId="0" applyFont="1" applyFill="1" applyBorder="1" applyAlignment="1">
      <alignment/>
    </xf>
    <xf numFmtId="180" fontId="11" fillId="0" borderId="11" xfId="0" applyFont="1" applyBorder="1" applyAlignment="1">
      <alignment/>
    </xf>
    <xf numFmtId="180" fontId="13" fillId="0" borderId="15" xfId="0" applyFont="1" applyBorder="1" applyAlignment="1">
      <alignment/>
    </xf>
    <xf numFmtId="181" fontId="11" fillId="0" borderId="16" xfId="0" applyNumberFormat="1" applyFont="1" applyBorder="1" applyAlignment="1">
      <alignment/>
    </xf>
    <xf numFmtId="181" fontId="11" fillId="0" borderId="18" xfId="0" applyNumberFormat="1" applyFont="1" applyFill="1" applyBorder="1" applyAlignment="1">
      <alignment/>
    </xf>
    <xf numFmtId="181" fontId="11" fillId="0" borderId="22" xfId="0" applyNumberFormat="1" applyFont="1" applyFill="1" applyBorder="1" applyAlignment="1">
      <alignment/>
    </xf>
    <xf numFmtId="181" fontId="11" fillId="0" borderId="11" xfId="0" applyNumberFormat="1" applyFont="1" applyFill="1" applyBorder="1" applyAlignment="1">
      <alignment/>
    </xf>
    <xf numFmtId="180" fontId="4" fillId="0" borderId="30" xfId="0" applyFont="1" applyBorder="1" applyAlignment="1">
      <alignment/>
    </xf>
    <xf numFmtId="180" fontId="4" fillId="0" borderId="27" xfId="0" applyFont="1" applyFill="1" applyBorder="1" applyAlignment="1">
      <alignment/>
    </xf>
    <xf numFmtId="180" fontId="4" fillId="0" borderId="28" xfId="0" applyFont="1" applyFill="1" applyBorder="1" applyAlignment="1">
      <alignment/>
    </xf>
    <xf numFmtId="180" fontId="4" fillId="0" borderId="29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181" fontId="4" fillId="0" borderId="19" xfId="0" applyNumberFormat="1" applyFont="1" applyBorder="1" applyAlignment="1">
      <alignment/>
    </xf>
    <xf numFmtId="180" fontId="13" fillId="0" borderId="31" xfId="0" applyFont="1" applyBorder="1" applyAlignment="1">
      <alignment/>
    </xf>
    <xf numFmtId="184" fontId="4" fillId="0" borderId="18" xfId="0" applyNumberFormat="1" applyFont="1" applyBorder="1" applyAlignment="1">
      <alignment/>
    </xf>
    <xf numFmtId="180" fontId="0" fillId="0" borderId="18" xfId="0" applyBorder="1" applyAlignment="1">
      <alignment/>
    </xf>
    <xf numFmtId="180" fontId="4" fillId="0" borderId="0" xfId="0" applyFont="1" applyAlignment="1">
      <alignment wrapText="1"/>
    </xf>
    <xf numFmtId="180" fontId="4" fillId="0" borderId="18" xfId="0" applyFont="1" applyBorder="1" applyAlignment="1">
      <alignment wrapText="1"/>
    </xf>
    <xf numFmtId="180" fontId="6" fillId="0" borderId="18" xfId="0" applyFont="1" applyBorder="1" applyAlignment="1">
      <alignment wrapText="1"/>
    </xf>
    <xf numFmtId="180" fontId="12" fillId="0" borderId="18" xfId="0" applyFont="1" applyBorder="1" applyAlignment="1">
      <alignment wrapText="1"/>
    </xf>
    <xf numFmtId="180" fontId="6" fillId="34" borderId="18" xfId="0" applyFont="1" applyFill="1" applyBorder="1" applyAlignment="1">
      <alignment wrapText="1"/>
    </xf>
    <xf numFmtId="180" fontId="4" fillId="0" borderId="22" xfId="0" applyFont="1" applyBorder="1" applyAlignment="1">
      <alignment wrapText="1"/>
    </xf>
    <xf numFmtId="180" fontId="6" fillId="34" borderId="22" xfId="0" applyFont="1" applyFill="1" applyBorder="1" applyAlignment="1">
      <alignment/>
    </xf>
    <xf numFmtId="180" fontId="4" fillId="34" borderId="18" xfId="0" applyFont="1" applyFill="1" applyBorder="1" applyAlignment="1">
      <alignment/>
    </xf>
    <xf numFmtId="180" fontId="4" fillId="34" borderId="32" xfId="0" applyFont="1" applyFill="1" applyBorder="1" applyAlignment="1">
      <alignment/>
    </xf>
    <xf numFmtId="180" fontId="4" fillId="0" borderId="0" xfId="0" applyFont="1" applyBorder="1" applyAlignment="1">
      <alignment/>
    </xf>
    <xf numFmtId="180" fontId="6" fillId="0" borderId="0" xfId="0" applyFont="1" applyBorder="1" applyAlignment="1">
      <alignment/>
    </xf>
    <xf numFmtId="184" fontId="20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6" fillId="0" borderId="0" xfId="0" applyNumberFormat="1" applyFont="1" applyBorder="1" applyAlignment="1">
      <alignment/>
    </xf>
    <xf numFmtId="180" fontId="4" fillId="35" borderId="0" xfId="0" applyFont="1" applyFill="1" applyBorder="1" applyAlignment="1">
      <alignment/>
    </xf>
    <xf numFmtId="180" fontId="6" fillId="33" borderId="0" xfId="0" applyFont="1" applyFill="1" applyBorder="1" applyAlignment="1">
      <alignment/>
    </xf>
    <xf numFmtId="180" fontId="4" fillId="36" borderId="0" xfId="0" applyFont="1" applyFill="1" applyBorder="1" applyAlignment="1">
      <alignment/>
    </xf>
    <xf numFmtId="180" fontId="6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184" fontId="6" fillId="36" borderId="0" xfId="0" applyNumberFormat="1" applyFont="1" applyFill="1" applyBorder="1" applyAlignment="1">
      <alignment/>
    </xf>
    <xf numFmtId="184" fontId="4" fillId="36" borderId="0" xfId="0" applyNumberFormat="1" applyFont="1" applyFill="1" applyBorder="1" applyAlignment="1">
      <alignment/>
    </xf>
    <xf numFmtId="184" fontId="20" fillId="36" borderId="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/>
    </xf>
    <xf numFmtId="180" fontId="6" fillId="0" borderId="15" xfId="0" applyFont="1" applyBorder="1" applyAlignment="1">
      <alignment/>
    </xf>
    <xf numFmtId="180" fontId="4" fillId="0" borderId="21" xfId="0" applyFont="1" applyBorder="1" applyAlignment="1">
      <alignment/>
    </xf>
    <xf numFmtId="180" fontId="6" fillId="0" borderId="24" xfId="0" applyFont="1" applyFill="1" applyBorder="1" applyAlignment="1">
      <alignment/>
    </xf>
    <xf numFmtId="181" fontId="11" fillId="0" borderId="15" xfId="0" applyNumberFormat="1" applyFont="1" applyFill="1" applyBorder="1" applyAlignment="1">
      <alignment/>
    </xf>
    <xf numFmtId="180" fontId="11" fillId="0" borderId="25" xfId="0" applyFont="1" applyBorder="1" applyAlignment="1">
      <alignment/>
    </xf>
    <xf numFmtId="181" fontId="11" fillId="0" borderId="30" xfId="0" applyNumberFormat="1" applyFont="1" applyBorder="1" applyAlignment="1">
      <alignment/>
    </xf>
    <xf numFmtId="181" fontId="4" fillId="0" borderId="33" xfId="0" applyNumberFormat="1" applyFont="1" applyFill="1" applyBorder="1" applyAlignment="1">
      <alignment/>
    </xf>
    <xf numFmtId="181" fontId="11" fillId="0" borderId="25" xfId="0" applyNumberFormat="1" applyFont="1" applyFill="1" applyBorder="1" applyAlignment="1">
      <alignment/>
    </xf>
    <xf numFmtId="181" fontId="4" fillId="0" borderId="31" xfId="0" applyNumberFormat="1" applyFont="1" applyFill="1" applyBorder="1" applyAlignment="1">
      <alignment/>
    </xf>
    <xf numFmtId="180" fontId="4" fillId="0" borderId="0" xfId="0" applyFont="1" applyFill="1" applyBorder="1" applyAlignment="1">
      <alignment/>
    </xf>
    <xf numFmtId="180" fontId="20" fillId="0" borderId="0" xfId="0" applyFont="1" applyFill="1" applyBorder="1" applyAlignment="1">
      <alignment/>
    </xf>
    <xf numFmtId="180" fontId="20" fillId="0" borderId="0" xfId="0" applyFont="1" applyFill="1" applyBorder="1" applyAlignment="1">
      <alignment wrapText="1"/>
    </xf>
    <xf numFmtId="180" fontId="0" fillId="0" borderId="0" xfId="0" applyFont="1" applyBorder="1" applyAlignment="1">
      <alignment/>
    </xf>
    <xf numFmtId="180" fontId="6" fillId="0" borderId="34" xfId="0" applyFont="1" applyBorder="1" applyAlignment="1">
      <alignment/>
    </xf>
    <xf numFmtId="180" fontId="6" fillId="0" borderId="19" xfId="0" applyFont="1" applyBorder="1" applyAlignment="1">
      <alignment/>
    </xf>
    <xf numFmtId="181" fontId="4" fillId="0" borderId="25" xfId="0" applyNumberFormat="1" applyFont="1" applyBorder="1" applyAlignment="1">
      <alignment/>
    </xf>
    <xf numFmtId="181" fontId="4" fillId="0" borderId="25" xfId="0" applyNumberFormat="1" applyFont="1" applyFill="1" applyBorder="1" applyAlignment="1">
      <alignment/>
    </xf>
    <xf numFmtId="181" fontId="4" fillId="0" borderId="35" xfId="0" applyNumberFormat="1" applyFont="1" applyBorder="1" applyAlignment="1">
      <alignment/>
    </xf>
    <xf numFmtId="180" fontId="0" fillId="36" borderId="0" xfId="0" applyFill="1" applyBorder="1" applyAlignment="1">
      <alignment/>
    </xf>
    <xf numFmtId="180" fontId="2" fillId="36" borderId="0" xfId="0" applyFont="1" applyFill="1" applyBorder="1" applyAlignment="1">
      <alignment/>
    </xf>
    <xf numFmtId="180" fontId="0" fillId="36" borderId="0" xfId="0" applyFont="1" applyFill="1" applyBorder="1" applyAlignment="1">
      <alignment/>
    </xf>
    <xf numFmtId="2" fontId="14" fillId="36" borderId="0" xfId="0" applyNumberFormat="1" applyFont="1" applyFill="1" applyBorder="1" applyAlignment="1">
      <alignment/>
    </xf>
    <xf numFmtId="2" fontId="10" fillId="36" borderId="0" xfId="0" applyNumberFormat="1" applyFont="1" applyFill="1" applyBorder="1" applyAlignment="1">
      <alignment/>
    </xf>
    <xf numFmtId="180" fontId="20" fillId="36" borderId="0" xfId="0" applyFont="1" applyFill="1" applyBorder="1" applyAlignment="1">
      <alignment/>
    </xf>
    <xf numFmtId="180" fontId="6" fillId="36" borderId="22" xfId="0" applyFont="1" applyFill="1" applyBorder="1" applyAlignment="1">
      <alignment/>
    </xf>
    <xf numFmtId="180" fontId="4" fillId="36" borderId="15" xfId="0" applyFont="1" applyFill="1" applyBorder="1" applyAlignment="1">
      <alignment/>
    </xf>
    <xf numFmtId="180" fontId="6" fillId="0" borderId="36" xfId="0" applyFont="1" applyBorder="1" applyAlignment="1">
      <alignment/>
    </xf>
    <xf numFmtId="180" fontId="6" fillId="0" borderId="24" xfId="0" applyFont="1" applyBorder="1" applyAlignment="1">
      <alignment/>
    </xf>
    <xf numFmtId="180" fontId="0" fillId="0" borderId="25" xfId="0" applyBorder="1" applyAlignment="1">
      <alignment/>
    </xf>
    <xf numFmtId="184" fontId="11" fillId="0" borderId="16" xfId="0" applyNumberFormat="1" applyFont="1" applyBorder="1" applyAlignment="1">
      <alignment/>
    </xf>
    <xf numFmtId="184" fontId="11" fillId="0" borderId="24" xfId="0" applyNumberFormat="1" applyFont="1" applyBorder="1" applyAlignment="1">
      <alignment/>
    </xf>
    <xf numFmtId="184" fontId="11" fillId="0" borderId="30" xfId="0" applyNumberFormat="1" applyFont="1" applyBorder="1" applyAlignment="1">
      <alignment/>
    </xf>
    <xf numFmtId="184" fontId="11" fillId="0" borderId="37" xfId="0" applyNumberFormat="1" applyFont="1" applyBorder="1" applyAlignment="1">
      <alignment/>
    </xf>
    <xf numFmtId="180" fontId="4" fillId="34" borderId="0" xfId="0" applyFont="1" applyFill="1" applyBorder="1" applyAlignment="1">
      <alignment/>
    </xf>
    <xf numFmtId="180" fontId="20" fillId="0" borderId="18" xfId="0" applyFont="1" applyBorder="1" applyAlignment="1">
      <alignment/>
    </xf>
    <xf numFmtId="180" fontId="14" fillId="0" borderId="0" xfId="0" applyFont="1" applyAlignment="1">
      <alignment/>
    </xf>
    <xf numFmtId="180" fontId="17" fillId="36" borderId="0" xfId="0" applyFont="1" applyFill="1" applyBorder="1" applyAlignment="1">
      <alignment/>
    </xf>
    <xf numFmtId="184" fontId="21" fillId="36" borderId="0" xfId="0" applyNumberFormat="1" applyFont="1" applyFill="1" applyBorder="1" applyAlignment="1">
      <alignment/>
    </xf>
    <xf numFmtId="180" fontId="22" fillId="0" borderId="0" xfId="0" applyFont="1" applyAlignment="1">
      <alignment/>
    </xf>
    <xf numFmtId="180" fontId="0" fillId="0" borderId="0" xfId="0" applyAlignment="1" applyProtection="1">
      <alignment/>
      <protection locked="0"/>
    </xf>
    <xf numFmtId="2" fontId="19" fillId="0" borderId="15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 horizontal="center" vertical="center"/>
      <protection/>
    </xf>
    <xf numFmtId="2" fontId="19" fillId="0" borderId="18" xfId="0" applyNumberFormat="1" applyFont="1" applyBorder="1" applyAlignment="1" applyProtection="1">
      <alignment horizontal="center" vertical="center"/>
      <protection/>
    </xf>
    <xf numFmtId="2" fontId="19" fillId="0" borderId="16" xfId="0" applyNumberFormat="1" applyFont="1" applyBorder="1" applyAlignment="1" applyProtection="1">
      <alignment horizontal="center" vertical="center"/>
      <protection/>
    </xf>
    <xf numFmtId="184" fontId="19" fillId="37" borderId="18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0" fontId="6" fillId="0" borderId="18" xfId="0" applyFont="1" applyBorder="1" applyAlignment="1" applyProtection="1">
      <alignment horizontal="left" vertical="center" wrapText="1"/>
      <protection/>
    </xf>
    <xf numFmtId="180" fontId="6" fillId="0" borderId="10" xfId="0" applyFont="1" applyBorder="1" applyAlignment="1" applyProtection="1">
      <alignment horizontal="center" vertical="center" wrapText="1"/>
      <protection/>
    </xf>
    <xf numFmtId="180" fontId="6" fillId="0" borderId="13" xfId="0" applyFont="1" applyBorder="1" applyAlignment="1" applyProtection="1">
      <alignment horizontal="center" vertical="center" wrapText="1"/>
      <protection/>
    </xf>
    <xf numFmtId="180" fontId="6" fillId="0" borderId="11" xfId="0" applyFont="1" applyBorder="1" applyAlignment="1" applyProtection="1">
      <alignment horizontal="center" vertical="center" wrapText="1"/>
      <protection/>
    </xf>
    <xf numFmtId="180" fontId="6" fillId="0" borderId="15" xfId="0" applyFont="1" applyBorder="1" applyAlignment="1" applyProtection="1">
      <alignment horizontal="center" vertical="center"/>
      <protection/>
    </xf>
    <xf numFmtId="180" fontId="6" fillId="0" borderId="15" xfId="0" applyFont="1" applyBorder="1" applyAlignment="1" applyProtection="1">
      <alignment horizontal="center" vertical="center" wrapText="1"/>
      <protection/>
    </xf>
    <xf numFmtId="180" fontId="6" fillId="0" borderId="25" xfId="0" applyFont="1" applyBorder="1" applyAlignment="1" applyProtection="1">
      <alignment horizontal="center" vertical="center" wrapText="1"/>
      <protection/>
    </xf>
    <xf numFmtId="180" fontId="6" fillId="0" borderId="33" xfId="0" applyFont="1" applyBorder="1" applyAlignment="1" applyProtection="1">
      <alignment horizontal="left" vertical="center" wrapText="1"/>
      <protection/>
    </xf>
    <xf numFmtId="180" fontId="6" fillId="0" borderId="31" xfId="0" applyFont="1" applyBorder="1" applyAlignment="1" applyProtection="1">
      <alignment horizontal="center" vertical="center" wrapText="1"/>
      <protection/>
    </xf>
    <xf numFmtId="180" fontId="6" fillId="0" borderId="13" xfId="0" applyFont="1" applyBorder="1" applyAlignment="1" applyProtection="1">
      <alignment horizontal="center" vertical="center"/>
      <protection/>
    </xf>
    <xf numFmtId="2" fontId="19" fillId="0" borderId="19" xfId="0" applyNumberFormat="1" applyFont="1" applyBorder="1" applyAlignment="1" applyProtection="1">
      <alignment horizontal="center" vertical="center"/>
      <protection/>
    </xf>
    <xf numFmtId="2" fontId="19" fillId="0" borderId="35" xfId="0" applyNumberFormat="1" applyFont="1" applyBorder="1" applyAlignment="1" applyProtection="1">
      <alignment horizontal="center" vertical="center"/>
      <protection/>
    </xf>
    <xf numFmtId="180" fontId="6" fillId="0" borderId="38" xfId="0" applyFont="1" applyBorder="1" applyAlignment="1" applyProtection="1">
      <alignment horizontal="center" vertical="center" wrapText="1"/>
      <protection/>
    </xf>
    <xf numFmtId="180" fontId="6" fillId="0" borderId="39" xfId="0" applyFont="1" applyBorder="1" applyAlignment="1" applyProtection="1">
      <alignment horizontal="center" vertical="center"/>
      <protection/>
    </xf>
    <xf numFmtId="180" fontId="6" fillId="0" borderId="40" xfId="0" applyFont="1" applyBorder="1" applyAlignment="1" applyProtection="1">
      <alignment horizontal="center" vertical="center" wrapText="1"/>
      <protection/>
    </xf>
    <xf numFmtId="180" fontId="6" fillId="0" borderId="38" xfId="0" applyFont="1" applyBorder="1" applyAlignment="1" applyProtection="1">
      <alignment horizontal="center" vertical="center"/>
      <protection/>
    </xf>
    <xf numFmtId="180" fontId="6" fillId="0" borderId="40" xfId="0" applyFont="1" applyBorder="1" applyAlignment="1" applyProtection="1">
      <alignment horizontal="center" vertical="center"/>
      <protection/>
    </xf>
    <xf numFmtId="180" fontId="6" fillId="0" borderId="41" xfId="0" applyFont="1" applyBorder="1" applyAlignment="1" applyProtection="1">
      <alignment horizontal="center" vertical="center" wrapText="1"/>
      <protection/>
    </xf>
    <xf numFmtId="2" fontId="19" fillId="0" borderId="42" xfId="0" applyNumberFormat="1" applyFont="1" applyBorder="1" applyAlignment="1" applyProtection="1">
      <alignment horizontal="center" vertical="center"/>
      <protection/>
    </xf>
    <xf numFmtId="180" fontId="6" fillId="0" borderId="17" xfId="0" applyFont="1" applyBorder="1" applyAlignment="1" applyProtection="1">
      <alignment horizontal="left" vertical="center" wrapText="1"/>
      <protection/>
    </xf>
    <xf numFmtId="180" fontId="6" fillId="0" borderId="31" xfId="0" applyFont="1" applyBorder="1" applyAlignment="1" applyProtection="1">
      <alignment horizontal="center" vertical="center"/>
      <protection/>
    </xf>
    <xf numFmtId="180" fontId="6" fillId="0" borderId="43" xfId="0" applyFont="1" applyBorder="1" applyAlignment="1" applyProtection="1">
      <alignment horizontal="center" vertical="center" wrapText="1"/>
      <protection/>
    </xf>
    <xf numFmtId="180" fontId="6" fillId="0" borderId="32" xfId="0" applyFont="1" applyFill="1" applyBorder="1" applyAlignment="1" applyProtection="1">
      <alignment horizontal="left" vertical="center" wrapText="1"/>
      <protection/>
    </xf>
    <xf numFmtId="180" fontId="6" fillId="0" borderId="44" xfId="0" applyFont="1" applyBorder="1" applyAlignment="1" applyProtection="1">
      <alignment horizontal="center" vertical="center" wrapText="1"/>
      <protection/>
    </xf>
    <xf numFmtId="180" fontId="6" fillId="0" borderId="20" xfId="0" applyFont="1" applyBorder="1" applyAlignment="1" applyProtection="1">
      <alignment horizontal="left" vertical="center" wrapText="1"/>
      <protection/>
    </xf>
    <xf numFmtId="184" fontId="19" fillId="0" borderId="35" xfId="0" applyNumberFormat="1" applyFont="1" applyFill="1" applyBorder="1" applyAlignment="1" applyProtection="1">
      <alignment horizontal="center" vertical="center"/>
      <protection/>
    </xf>
    <xf numFmtId="2" fontId="19" fillId="37" borderId="19" xfId="0" applyNumberFormat="1" applyFont="1" applyFill="1" applyBorder="1" applyAlignment="1" applyProtection="1">
      <alignment horizontal="center" vertical="center"/>
      <protection locked="0"/>
    </xf>
    <xf numFmtId="184" fontId="19" fillId="37" borderId="33" xfId="0" applyNumberFormat="1" applyFont="1" applyFill="1" applyBorder="1" applyAlignment="1" applyProtection="1">
      <alignment horizontal="center" vertical="center"/>
      <protection locked="0"/>
    </xf>
    <xf numFmtId="180" fontId="6" fillId="0" borderId="45" xfId="0" applyFont="1" applyBorder="1" applyAlignment="1" applyProtection="1">
      <alignment horizontal="center" vertical="center"/>
      <protection/>
    </xf>
    <xf numFmtId="2" fontId="19" fillId="0" borderId="22" xfId="0" applyNumberFormat="1" applyFont="1" applyBorder="1" applyAlignment="1" applyProtection="1">
      <alignment horizontal="center" vertical="center"/>
      <protection/>
    </xf>
    <xf numFmtId="180" fontId="6" fillId="0" borderId="46" xfId="0" applyFont="1" applyBorder="1" applyAlignment="1" applyProtection="1">
      <alignment horizontal="center" vertical="center"/>
      <protection/>
    </xf>
    <xf numFmtId="180" fontId="23" fillId="0" borderId="0" xfId="0" applyFont="1" applyAlignment="1" applyProtection="1">
      <alignment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0" xfId="52" applyFont="1" applyProtection="1">
      <alignment/>
      <protection locked="0"/>
    </xf>
    <xf numFmtId="180" fontId="6" fillId="0" borderId="47" xfId="0" applyFont="1" applyBorder="1" applyAlignment="1" applyProtection="1">
      <alignment horizontal="center" vertical="center" wrapText="1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180" fontId="6" fillId="0" borderId="28" xfId="0" applyFont="1" applyBorder="1" applyAlignment="1" applyProtection="1">
      <alignment horizontal="center" vertical="center" wrapText="1"/>
      <protection/>
    </xf>
    <xf numFmtId="180" fontId="6" fillId="0" borderId="22" xfId="0" applyFont="1" applyBorder="1" applyAlignment="1" applyProtection="1">
      <alignment horizontal="center" vertical="center" wrapText="1"/>
      <protection/>
    </xf>
    <xf numFmtId="180" fontId="6" fillId="0" borderId="48" xfId="0" applyFont="1" applyBorder="1" applyAlignment="1" applyProtection="1">
      <alignment horizontal="center" vertical="center"/>
      <protection/>
    </xf>
    <xf numFmtId="184" fontId="19" fillId="37" borderId="49" xfId="0" applyNumberFormat="1" applyFont="1" applyFill="1" applyBorder="1" applyAlignment="1" applyProtection="1">
      <alignment horizontal="center" vertical="center"/>
      <protection locked="0"/>
    </xf>
    <xf numFmtId="180" fontId="6" fillId="0" borderId="50" xfId="0" applyFont="1" applyBorder="1" applyAlignment="1" applyProtection="1">
      <alignment horizontal="center" vertical="center"/>
      <protection/>
    </xf>
    <xf numFmtId="184" fontId="19" fillId="37" borderId="51" xfId="0" applyNumberFormat="1" applyFont="1" applyFill="1" applyBorder="1" applyAlignment="1" applyProtection="1">
      <alignment horizontal="center" vertical="center"/>
      <protection locked="0"/>
    </xf>
    <xf numFmtId="184" fontId="19" fillId="37" borderId="52" xfId="0" applyNumberFormat="1" applyFont="1" applyFill="1" applyBorder="1" applyAlignment="1" applyProtection="1">
      <alignment horizontal="center" vertical="center"/>
      <protection locked="0"/>
    </xf>
    <xf numFmtId="180" fontId="6" fillId="0" borderId="53" xfId="0" applyFont="1" applyBorder="1" applyAlignment="1" applyProtection="1">
      <alignment horizontal="center" vertical="center"/>
      <protection/>
    </xf>
    <xf numFmtId="180" fontId="6" fillId="0" borderId="54" xfId="0" applyFont="1" applyBorder="1" applyAlignment="1" applyProtection="1">
      <alignment horizontal="center" vertical="center"/>
      <protection/>
    </xf>
    <xf numFmtId="2" fontId="19" fillId="0" borderId="11" xfId="0" applyNumberFormat="1" applyFont="1" applyFill="1" applyBorder="1" applyAlignment="1" applyProtection="1">
      <alignment horizontal="center" vertical="center"/>
      <protection/>
    </xf>
    <xf numFmtId="2" fontId="19" fillId="0" borderId="16" xfId="0" applyNumberFormat="1" applyFont="1" applyFill="1" applyBorder="1" applyAlignment="1" applyProtection="1">
      <alignment horizontal="center" vertical="center"/>
      <protection/>
    </xf>
    <xf numFmtId="2" fontId="19" fillId="0" borderId="15" xfId="0" applyNumberFormat="1" applyFont="1" applyFill="1" applyBorder="1" applyAlignment="1" applyProtection="1">
      <alignment horizontal="center" vertical="center"/>
      <protection/>
    </xf>
    <xf numFmtId="2" fontId="19" fillId="7" borderId="15" xfId="0" applyNumberFormat="1" applyFont="1" applyFill="1" applyBorder="1" applyAlignment="1" applyProtection="1">
      <alignment horizontal="center" vertical="center"/>
      <protection/>
    </xf>
    <xf numFmtId="2" fontId="19" fillId="7" borderId="34" xfId="0" applyNumberFormat="1" applyFont="1" applyFill="1" applyBorder="1" applyAlignment="1" applyProtection="1">
      <alignment horizontal="center" vertical="center"/>
      <protection/>
    </xf>
    <xf numFmtId="2" fontId="19" fillId="7" borderId="19" xfId="0" applyNumberFormat="1" applyFont="1" applyFill="1" applyBorder="1" applyAlignment="1" applyProtection="1">
      <alignment horizontal="center" vertical="center"/>
      <protection/>
    </xf>
    <xf numFmtId="2" fontId="19" fillId="7" borderId="18" xfId="0" applyNumberFormat="1" applyFont="1" applyFill="1" applyBorder="1" applyAlignment="1" applyProtection="1">
      <alignment horizontal="center" vertical="center"/>
      <protection/>
    </xf>
    <xf numFmtId="2" fontId="19" fillId="7" borderId="16" xfId="0" applyNumberFormat="1" applyFont="1" applyFill="1" applyBorder="1" applyAlignment="1" applyProtection="1">
      <alignment horizontal="center" vertical="center"/>
      <protection/>
    </xf>
    <xf numFmtId="2" fontId="10" fillId="0" borderId="50" xfId="0" applyNumberFormat="1" applyFont="1" applyBorder="1" applyAlignment="1" applyProtection="1">
      <alignment horizontal="center" vertical="center"/>
      <protection/>
    </xf>
    <xf numFmtId="2" fontId="19" fillId="0" borderId="18" xfId="0" applyNumberFormat="1" applyFont="1" applyFill="1" applyBorder="1" applyAlignment="1" applyProtection="1">
      <alignment horizontal="center" vertical="center"/>
      <protection/>
    </xf>
    <xf numFmtId="180" fontId="59" fillId="0" borderId="0" xfId="0" applyFont="1" applyAlignment="1">
      <alignment/>
    </xf>
    <xf numFmtId="180" fontId="0" fillId="38" borderId="0" xfId="0" applyFill="1" applyAlignment="1" applyProtection="1">
      <alignment/>
      <protection/>
    </xf>
    <xf numFmtId="184" fontId="19" fillId="31" borderId="10" xfId="0" applyNumberFormat="1" applyFont="1" applyFill="1" applyBorder="1" applyAlignment="1" applyProtection="1">
      <alignment horizontal="center" vertical="center"/>
      <protection/>
    </xf>
    <xf numFmtId="184" fontId="19" fillId="31" borderId="11" xfId="0" applyNumberFormat="1" applyFont="1" applyFill="1" applyBorder="1" applyAlignment="1" applyProtection="1">
      <alignment horizontal="center" vertical="center"/>
      <protection/>
    </xf>
    <xf numFmtId="184" fontId="19" fillId="31" borderId="25" xfId="0" applyNumberFormat="1" applyFont="1" applyFill="1" applyBorder="1" applyAlignment="1" applyProtection="1">
      <alignment horizontal="center" vertical="center"/>
      <protection/>
    </xf>
    <xf numFmtId="184" fontId="19" fillId="31" borderId="17" xfId="0" applyNumberFormat="1" applyFont="1" applyFill="1" applyBorder="1" applyAlignment="1" applyProtection="1">
      <alignment horizontal="center" vertical="center"/>
      <protection/>
    </xf>
    <xf numFmtId="184" fontId="19" fillId="31" borderId="41" xfId="0" applyNumberFormat="1" applyFont="1" applyFill="1" applyBorder="1" applyAlignment="1" applyProtection="1">
      <alignment horizontal="center" vertical="center"/>
      <protection/>
    </xf>
    <xf numFmtId="184" fontId="19" fillId="31" borderId="12" xfId="0" applyNumberFormat="1" applyFont="1" applyFill="1" applyBorder="1" applyAlignment="1" applyProtection="1">
      <alignment horizontal="center" vertical="center"/>
      <protection/>
    </xf>
    <xf numFmtId="184" fontId="19" fillId="31" borderId="34" xfId="0" applyNumberFormat="1" applyFont="1" applyFill="1" applyBorder="1" applyAlignment="1" applyProtection="1">
      <alignment horizontal="center" vertical="center"/>
      <protection/>
    </xf>
    <xf numFmtId="184" fontId="19" fillId="31" borderId="30" xfId="0" applyNumberFormat="1" applyFont="1" applyFill="1" applyBorder="1" applyAlignment="1" applyProtection="1">
      <alignment horizontal="center" vertical="center"/>
      <protection/>
    </xf>
    <xf numFmtId="184" fontId="19" fillId="31" borderId="42" xfId="0" applyNumberFormat="1" applyFont="1" applyFill="1" applyBorder="1" applyAlignment="1" applyProtection="1">
      <alignment horizontal="center" vertical="center"/>
      <protection/>
    </xf>
    <xf numFmtId="189" fontId="19" fillId="31" borderId="42" xfId="0" applyNumberFormat="1" applyFont="1" applyFill="1" applyBorder="1" applyAlignment="1" applyProtection="1">
      <alignment horizontal="center" vertical="center"/>
      <protection/>
    </xf>
    <xf numFmtId="184" fontId="19" fillId="31" borderId="35" xfId="0" applyNumberFormat="1" applyFont="1" applyFill="1" applyBorder="1" applyAlignment="1" applyProtection="1">
      <alignment horizontal="center" vertical="center"/>
      <protection/>
    </xf>
    <xf numFmtId="2" fontId="19" fillId="31" borderId="55" xfId="0" applyNumberFormat="1" applyFont="1" applyFill="1" applyBorder="1" applyAlignment="1" applyProtection="1">
      <alignment horizontal="center" vertical="center"/>
      <protection/>
    </xf>
    <xf numFmtId="2" fontId="19" fillId="31" borderId="17" xfId="0" applyNumberFormat="1" applyFont="1" applyFill="1" applyBorder="1" applyAlignment="1" applyProtection="1">
      <alignment horizontal="center" vertical="center"/>
      <protection/>
    </xf>
    <xf numFmtId="2" fontId="19" fillId="31" borderId="12" xfId="0" applyNumberFormat="1" applyFont="1" applyFill="1" applyBorder="1" applyAlignment="1" applyProtection="1">
      <alignment horizontal="center" vertical="center"/>
      <protection/>
    </xf>
    <xf numFmtId="2" fontId="19" fillId="31" borderId="41" xfId="0" applyNumberFormat="1" applyFont="1" applyFill="1" applyBorder="1" applyAlignment="1" applyProtection="1">
      <alignment horizontal="center" vertical="center"/>
      <protection/>
    </xf>
    <xf numFmtId="2" fontId="19" fillId="31" borderId="20" xfId="0" applyNumberFormat="1" applyFont="1" applyFill="1" applyBorder="1" applyAlignment="1" applyProtection="1">
      <alignment horizontal="center" vertical="center"/>
      <protection/>
    </xf>
    <xf numFmtId="2" fontId="19" fillId="31" borderId="56" xfId="0" applyNumberFormat="1" applyFont="1" applyFill="1" applyBorder="1" applyAlignment="1" applyProtection="1">
      <alignment horizontal="center" vertical="center"/>
      <protection/>
    </xf>
    <xf numFmtId="2" fontId="19" fillId="31" borderId="21" xfId="0" applyNumberFormat="1" applyFont="1" applyFill="1" applyBorder="1" applyAlignment="1" applyProtection="1">
      <alignment horizontal="center" vertical="center"/>
      <protection/>
    </xf>
    <xf numFmtId="2" fontId="19" fillId="31" borderId="14" xfId="0" applyNumberFormat="1" applyFont="1" applyFill="1" applyBorder="1" applyAlignment="1" applyProtection="1">
      <alignment horizontal="center" vertical="center"/>
      <protection/>
    </xf>
    <xf numFmtId="2" fontId="19" fillId="31" borderId="53" xfId="0" applyNumberFormat="1" applyFont="1" applyFill="1" applyBorder="1" applyAlignment="1" applyProtection="1">
      <alignment horizontal="center" vertical="center"/>
      <protection/>
    </xf>
    <xf numFmtId="2" fontId="19" fillId="31" borderId="54" xfId="0" applyNumberFormat="1" applyFont="1" applyFill="1" applyBorder="1" applyAlignment="1" applyProtection="1">
      <alignment horizontal="center" vertical="center"/>
      <protection/>
    </xf>
    <xf numFmtId="2" fontId="19" fillId="31" borderId="57" xfId="0" applyNumberFormat="1" applyFont="1" applyFill="1" applyBorder="1" applyAlignment="1" applyProtection="1">
      <alignment horizontal="center" vertical="center"/>
      <protection/>
    </xf>
    <xf numFmtId="2" fontId="19" fillId="31" borderId="11" xfId="0" applyNumberFormat="1" applyFont="1" applyFill="1" applyBorder="1" applyAlignment="1" applyProtection="1">
      <alignment horizontal="center" vertical="center"/>
      <protection/>
    </xf>
    <xf numFmtId="2" fontId="19" fillId="31" borderId="16" xfId="0" applyNumberFormat="1" applyFont="1" applyFill="1" applyBorder="1" applyAlignment="1" applyProtection="1">
      <alignment horizontal="center" vertical="center"/>
      <protection/>
    </xf>
    <xf numFmtId="2" fontId="19" fillId="31" borderId="25" xfId="0" applyNumberFormat="1" applyFont="1" applyFill="1" applyBorder="1" applyAlignment="1" applyProtection="1">
      <alignment horizontal="center" vertical="center"/>
      <protection/>
    </xf>
    <xf numFmtId="2" fontId="19" fillId="31" borderId="33" xfId="0" applyNumberFormat="1" applyFont="1" applyFill="1" applyBorder="1" applyAlignment="1" applyProtection="1">
      <alignment horizontal="center" vertical="center"/>
      <protection/>
    </xf>
    <xf numFmtId="2" fontId="19" fillId="31" borderId="31" xfId="0" applyNumberFormat="1" applyFont="1" applyFill="1" applyBorder="1" applyAlignment="1" applyProtection="1">
      <alignment horizontal="center" vertical="center"/>
      <protection/>
    </xf>
    <xf numFmtId="2" fontId="19" fillId="31" borderId="47" xfId="0" applyNumberFormat="1" applyFont="1" applyFill="1" applyBorder="1" applyAlignment="1" applyProtection="1">
      <alignment horizontal="center" vertical="center"/>
      <protection/>
    </xf>
    <xf numFmtId="2" fontId="19" fillId="31" borderId="30" xfId="0" applyNumberFormat="1" applyFont="1" applyFill="1" applyBorder="1" applyAlignment="1" applyProtection="1">
      <alignment horizontal="center" vertical="center"/>
      <protection/>
    </xf>
    <xf numFmtId="2" fontId="19" fillId="4" borderId="11" xfId="0" applyNumberFormat="1" applyFont="1" applyFill="1" applyBorder="1" applyAlignment="1" applyProtection="1">
      <alignment horizontal="center" vertical="center"/>
      <protection/>
    </xf>
    <xf numFmtId="2" fontId="19" fillId="4" borderId="18" xfId="0" applyNumberFormat="1" applyFont="1" applyFill="1" applyBorder="1" applyAlignment="1" applyProtection="1">
      <alignment horizontal="center" vertical="center"/>
      <protection/>
    </xf>
    <xf numFmtId="2" fontId="19" fillId="4" borderId="15" xfId="0" applyNumberFormat="1" applyFont="1" applyFill="1" applyBorder="1" applyAlignment="1" applyProtection="1">
      <alignment horizontal="center" vertical="center"/>
      <protection/>
    </xf>
    <xf numFmtId="2" fontId="19" fillId="4" borderId="22" xfId="0" applyNumberFormat="1" applyFont="1" applyFill="1" applyBorder="1" applyAlignment="1" applyProtection="1">
      <alignment horizontal="center" vertical="center"/>
      <protection/>
    </xf>
    <xf numFmtId="2" fontId="19" fillId="4" borderId="16" xfId="0" applyNumberFormat="1" applyFont="1" applyFill="1" applyBorder="1" applyAlignment="1" applyProtection="1">
      <alignment horizontal="center" vertical="center"/>
      <protection/>
    </xf>
    <xf numFmtId="2" fontId="19" fillId="31" borderId="10" xfId="0" applyNumberFormat="1" applyFont="1" applyFill="1" applyBorder="1" applyAlignment="1" applyProtection="1">
      <alignment horizontal="center" vertical="center"/>
      <protection/>
    </xf>
    <xf numFmtId="2" fontId="19" fillId="31" borderId="13" xfId="0" applyNumberFormat="1" applyFont="1" applyFill="1" applyBorder="1" applyAlignment="1" applyProtection="1">
      <alignment horizontal="center" vertical="center"/>
      <protection/>
    </xf>
    <xf numFmtId="2" fontId="19" fillId="31" borderId="28" xfId="0" applyNumberFormat="1" applyFont="1" applyFill="1" applyBorder="1" applyAlignment="1" applyProtection="1">
      <alignment horizontal="center" vertical="center"/>
      <protection/>
    </xf>
    <xf numFmtId="2" fontId="19" fillId="31" borderId="18" xfId="0" applyNumberFormat="1" applyFont="1" applyFill="1" applyBorder="1" applyAlignment="1" applyProtection="1">
      <alignment horizontal="center" vertical="center"/>
      <protection/>
    </xf>
    <xf numFmtId="2" fontId="19" fillId="31" borderId="15" xfId="0" applyNumberFormat="1" applyFont="1" applyFill="1" applyBorder="1" applyAlignment="1" applyProtection="1">
      <alignment horizontal="center" vertical="center"/>
      <protection/>
    </xf>
    <xf numFmtId="2" fontId="19" fillId="31" borderId="22" xfId="0" applyNumberFormat="1" applyFont="1" applyFill="1" applyBorder="1" applyAlignment="1" applyProtection="1">
      <alignment horizontal="center" vertical="center"/>
      <protection/>
    </xf>
    <xf numFmtId="2" fontId="19" fillId="0" borderId="22" xfId="0" applyNumberFormat="1" applyFont="1" applyFill="1" applyBorder="1" applyAlignment="1" applyProtection="1">
      <alignment horizontal="center" vertical="center"/>
      <protection/>
    </xf>
    <xf numFmtId="2" fontId="19" fillId="31" borderId="24" xfId="0" applyNumberFormat="1" applyFont="1" applyFill="1" applyBorder="1" applyAlignment="1" applyProtection="1">
      <alignment horizontal="center" vertical="center"/>
      <protection/>
    </xf>
    <xf numFmtId="2" fontId="19" fillId="31" borderId="37" xfId="0" applyNumberFormat="1" applyFont="1" applyFill="1" applyBorder="1" applyAlignment="1" applyProtection="1">
      <alignment horizontal="center" vertical="center"/>
      <protection/>
    </xf>
    <xf numFmtId="2" fontId="19" fillId="39" borderId="19" xfId="0" applyNumberFormat="1" applyFont="1" applyFill="1" applyBorder="1" applyAlignment="1" applyProtection="1">
      <alignment horizontal="center" vertical="center"/>
      <protection/>
    </xf>
    <xf numFmtId="184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31" borderId="19" xfId="0" applyNumberFormat="1" applyFont="1" applyFill="1" applyBorder="1" applyAlignment="1" applyProtection="1">
      <alignment horizontal="center" vertical="center"/>
      <protection/>
    </xf>
    <xf numFmtId="180" fontId="25" fillId="38" borderId="0" xfId="0" applyFont="1" applyFill="1" applyAlignment="1" applyProtection="1">
      <alignment/>
      <protection/>
    </xf>
    <xf numFmtId="180" fontId="18" fillId="0" borderId="0" xfId="0" applyFont="1" applyAlignment="1" applyProtection="1">
      <alignment horizontal="center" vertical="center" wrapText="1"/>
      <protection locked="0"/>
    </xf>
    <xf numFmtId="180" fontId="18" fillId="0" borderId="26" xfId="0" applyFont="1" applyBorder="1" applyAlignment="1" applyProtection="1">
      <alignment horizontal="center" vertical="center" wrapText="1"/>
      <protection/>
    </xf>
    <xf numFmtId="184" fontId="19" fillId="31" borderId="27" xfId="0" applyNumberFormat="1" applyFont="1" applyFill="1" applyBorder="1" applyAlignment="1" applyProtection="1">
      <alignment horizontal="center" vertical="center"/>
      <protection/>
    </xf>
    <xf numFmtId="184" fontId="19" fillId="37" borderId="22" xfId="0" applyNumberFormat="1" applyFont="1" applyFill="1" applyBorder="1" applyAlignment="1" applyProtection="1">
      <alignment horizontal="center" vertical="center"/>
      <protection locked="0"/>
    </xf>
    <xf numFmtId="184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31" borderId="58" xfId="0" applyNumberFormat="1" applyFont="1" applyFill="1" applyBorder="1" applyAlignment="1" applyProtection="1">
      <alignment horizontal="center" vertical="center"/>
      <protection/>
    </xf>
    <xf numFmtId="2" fontId="19" fillId="31" borderId="29" xfId="0" applyNumberFormat="1" applyFont="1" applyFill="1" applyBorder="1" applyAlignment="1" applyProtection="1">
      <alignment horizontal="center" vertical="center"/>
      <protection/>
    </xf>
    <xf numFmtId="184" fontId="19" fillId="31" borderId="13" xfId="0" applyNumberFormat="1" applyFont="1" applyFill="1" applyBorder="1" applyAlignment="1" applyProtection="1">
      <alignment horizontal="center" vertical="center"/>
      <protection/>
    </xf>
    <xf numFmtId="184" fontId="19" fillId="0" borderId="15" xfId="0" applyNumberFormat="1" applyFont="1" applyFill="1" applyBorder="1" applyAlignment="1" applyProtection="1">
      <alignment horizontal="center" vertical="center"/>
      <protection locked="0"/>
    </xf>
    <xf numFmtId="2" fontId="19" fillId="31" borderId="48" xfId="0" applyNumberFormat="1" applyFont="1" applyFill="1" applyBorder="1" applyAlignment="1" applyProtection="1">
      <alignment horizontal="center" vertical="center"/>
      <protection/>
    </xf>
    <xf numFmtId="2" fontId="19" fillId="0" borderId="29" xfId="0" applyNumberFormat="1" applyFont="1" applyBorder="1" applyAlignment="1" applyProtection="1">
      <alignment horizontal="center" vertical="center"/>
      <protection/>
    </xf>
    <xf numFmtId="2" fontId="19" fillId="0" borderId="35" xfId="0" applyNumberFormat="1" applyFont="1" applyFill="1" applyBorder="1" applyAlignment="1" applyProtection="1">
      <alignment horizontal="center" vertical="center"/>
      <protection/>
    </xf>
    <xf numFmtId="2" fontId="19" fillId="31" borderId="34" xfId="0" applyNumberFormat="1" applyFont="1" applyFill="1" applyBorder="1" applyAlignment="1" applyProtection="1">
      <alignment horizontal="center" vertical="center"/>
      <protection/>
    </xf>
    <xf numFmtId="180" fontId="60" fillId="0" borderId="0" xfId="0" applyFont="1" applyAlignment="1">
      <alignment/>
    </xf>
    <xf numFmtId="184" fontId="19" fillId="38" borderId="18" xfId="0" applyNumberFormat="1" applyFont="1" applyFill="1" applyBorder="1" applyAlignment="1" applyProtection="1">
      <alignment horizontal="center" vertical="center"/>
      <protection locked="0"/>
    </xf>
    <xf numFmtId="180" fontId="18" fillId="0" borderId="0" xfId="0" applyFont="1" applyAlignment="1">
      <alignment/>
    </xf>
    <xf numFmtId="180" fontId="61" fillId="0" borderId="0" xfId="0" applyFont="1" applyAlignment="1">
      <alignment/>
    </xf>
    <xf numFmtId="180" fontId="18" fillId="0" borderId="0" xfId="0" applyFont="1" applyBorder="1" applyAlignment="1" applyProtection="1">
      <alignment horizontal="center" vertical="center" wrapText="1"/>
      <protection/>
    </xf>
    <xf numFmtId="180" fontId="4" fillId="0" borderId="0" xfId="0" applyFont="1" applyBorder="1" applyAlignment="1" applyProtection="1">
      <alignment vertical="center" wrapText="1"/>
      <protection/>
    </xf>
    <xf numFmtId="180" fontId="18" fillId="0" borderId="0" xfId="0" applyFont="1" applyBorder="1" applyAlignment="1" applyProtection="1">
      <alignment vertical="center" wrapText="1"/>
      <protection/>
    </xf>
    <xf numFmtId="2" fontId="19" fillId="38" borderId="0" xfId="0" applyNumberFormat="1" applyFont="1" applyFill="1" applyBorder="1" applyAlignment="1" applyProtection="1">
      <alignment horizontal="center" vertical="center"/>
      <protection/>
    </xf>
    <xf numFmtId="180" fontId="23" fillId="0" borderId="56" xfId="0" applyFont="1" applyBorder="1" applyAlignment="1" applyProtection="1">
      <alignment/>
      <protection locked="0"/>
    </xf>
    <xf numFmtId="180" fontId="0" fillId="0" borderId="56" xfId="0" applyBorder="1" applyAlignment="1">
      <alignment/>
    </xf>
    <xf numFmtId="0" fontId="24" fillId="0" borderId="56" xfId="52" applyFont="1" applyBorder="1" applyProtection="1">
      <alignment/>
      <protection locked="0"/>
    </xf>
    <xf numFmtId="0" fontId="24" fillId="0" borderId="0" xfId="52" applyFont="1" applyBorder="1" applyProtection="1">
      <alignment/>
      <protection locked="0"/>
    </xf>
    <xf numFmtId="180" fontId="23" fillId="0" borderId="0" xfId="0" applyFont="1" applyBorder="1" applyAlignment="1" applyProtection="1">
      <alignment/>
      <protection locked="0"/>
    </xf>
    <xf numFmtId="180" fontId="4" fillId="0" borderId="0" xfId="0" applyFont="1" applyBorder="1" applyAlignment="1">
      <alignment horizontal="center"/>
    </xf>
    <xf numFmtId="184" fontId="19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Font="1" applyAlignment="1">
      <alignment wrapText="1"/>
    </xf>
    <xf numFmtId="180" fontId="0" fillId="0" borderId="0" xfId="0" applyAlignment="1">
      <alignment wrapText="1"/>
    </xf>
    <xf numFmtId="180" fontId="15" fillId="0" borderId="0" xfId="0" applyFont="1" applyAlignment="1">
      <alignment wrapText="1"/>
    </xf>
    <xf numFmtId="180" fontId="4" fillId="0" borderId="59" xfId="0" applyFont="1" applyBorder="1" applyAlignment="1">
      <alignment horizontal="center"/>
    </xf>
    <xf numFmtId="180" fontId="23" fillId="0" borderId="56" xfId="0" applyFont="1" applyBorder="1" applyAlignment="1">
      <alignment horizontal="center"/>
    </xf>
    <xf numFmtId="180" fontId="6" fillId="0" borderId="11" xfId="0" applyFont="1" applyBorder="1" applyAlignment="1" applyProtection="1">
      <alignment horizontal="center" vertical="center" wrapText="1"/>
      <protection/>
    </xf>
    <xf numFmtId="180" fontId="6" fillId="0" borderId="18" xfId="0" applyFont="1" applyBorder="1" applyAlignment="1" applyProtection="1">
      <alignment horizontal="left" vertical="center" wrapText="1"/>
      <protection/>
    </xf>
    <xf numFmtId="180" fontId="6" fillId="0" borderId="25" xfId="0" applyFont="1" applyBorder="1" applyAlignment="1" applyProtection="1">
      <alignment horizontal="center" vertical="center" wrapText="1"/>
      <protection/>
    </xf>
    <xf numFmtId="180" fontId="6" fillId="0" borderId="33" xfId="0" applyFont="1" applyBorder="1" applyAlignment="1" applyProtection="1">
      <alignment horizontal="left" vertical="center" wrapText="1"/>
      <protection/>
    </xf>
    <xf numFmtId="0" fontId="24" fillId="0" borderId="0" xfId="52" applyFont="1" applyAlignment="1" applyProtection="1">
      <alignment horizontal="left"/>
      <protection locked="0"/>
    </xf>
    <xf numFmtId="180" fontId="18" fillId="0" borderId="26" xfId="0" applyFont="1" applyBorder="1" applyAlignment="1" applyProtection="1">
      <alignment horizontal="right" vertical="center" wrapText="1"/>
      <protection/>
    </xf>
    <xf numFmtId="180" fontId="18" fillId="0" borderId="0" xfId="0" applyFont="1" applyAlignment="1" applyProtection="1">
      <alignment horizontal="center" vertical="center" wrapText="1"/>
      <protection locked="0"/>
    </xf>
    <xf numFmtId="180" fontId="6" fillId="0" borderId="0" xfId="0" applyFont="1" applyBorder="1" applyAlignment="1" applyProtection="1">
      <alignment horizontal="center" vertical="center" wrapText="1"/>
      <protection locked="0"/>
    </xf>
    <xf numFmtId="180" fontId="18" fillId="0" borderId="2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Normal="90" zoomScaleSheetLayoutView="100" zoomScalePageLayoutView="0" workbookViewId="0" topLeftCell="A1">
      <selection activeCell="A70" sqref="A70"/>
    </sheetView>
  </sheetViews>
  <sheetFormatPr defaultColWidth="9.00390625" defaultRowHeight="12.75"/>
  <cols>
    <col min="1" max="1" width="4.625" style="0" customWidth="1"/>
    <col min="2" max="2" width="31.875" style="0" customWidth="1"/>
    <col min="3" max="3" width="8.25390625" style="0" customWidth="1"/>
    <col min="12" max="12" width="8.625" style="0" customWidth="1"/>
    <col min="13" max="13" width="7.75390625" style="0" customWidth="1"/>
    <col min="14" max="14" width="8.00390625" style="0" customWidth="1"/>
  </cols>
  <sheetData>
    <row r="1" spans="1:13" ht="49.5" customHeight="1">
      <c r="A1" s="279" t="s">
        <v>52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5"/>
    </row>
    <row r="2" spans="1:14" ht="14.25" thickBot="1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85"/>
      <c r="M2" s="85"/>
      <c r="N2" s="1"/>
    </row>
    <row r="3" spans="1:14" ht="13.5">
      <c r="A3" s="49" t="s">
        <v>35</v>
      </c>
      <c r="B3" s="7" t="s">
        <v>11</v>
      </c>
      <c r="C3" s="8" t="s">
        <v>1</v>
      </c>
      <c r="D3" s="9" t="s">
        <v>31</v>
      </c>
      <c r="E3" s="19" t="s">
        <v>2</v>
      </c>
      <c r="F3" s="19" t="s">
        <v>3</v>
      </c>
      <c r="G3" s="50" t="s">
        <v>4</v>
      </c>
      <c r="H3" s="51" t="s">
        <v>32</v>
      </c>
      <c r="I3" s="19" t="s">
        <v>5</v>
      </c>
      <c r="J3" s="19" t="s">
        <v>6</v>
      </c>
      <c r="K3" s="8" t="s">
        <v>7</v>
      </c>
      <c r="L3" s="85"/>
      <c r="M3" s="85"/>
      <c r="N3" s="1"/>
    </row>
    <row r="4" spans="1:14" ht="13.5">
      <c r="A4" s="35">
        <v>1</v>
      </c>
      <c r="B4" s="10" t="s">
        <v>39</v>
      </c>
      <c r="C4" s="11" t="s">
        <v>19</v>
      </c>
      <c r="D4" s="12">
        <f>E4+F4+G4</f>
        <v>925.0635</v>
      </c>
      <c r="E4" s="24">
        <f>390*0.88101</f>
        <v>343.59389999999996</v>
      </c>
      <c r="F4" s="24">
        <f>360*0.88101</f>
        <v>317.1636</v>
      </c>
      <c r="G4" s="32">
        <f>300*0.88102</f>
        <v>264.306</v>
      </c>
      <c r="H4" s="23">
        <f>I4+J4+K4</f>
        <v>268.962</v>
      </c>
      <c r="I4" s="24">
        <f>150*0.89654</f>
        <v>134.481</v>
      </c>
      <c r="J4" s="24">
        <f>ROUND(90*0.89654,3)</f>
        <v>80.689</v>
      </c>
      <c r="K4" s="99">
        <f>ROUND(60*0.89654,3)</f>
        <v>53.792</v>
      </c>
      <c r="L4" s="85"/>
      <c r="M4" s="85"/>
      <c r="N4" s="1"/>
    </row>
    <row r="5" spans="1:14" ht="13.5">
      <c r="A5" s="35">
        <v>2</v>
      </c>
      <c r="B5" s="13" t="s">
        <v>40</v>
      </c>
      <c r="C5" s="11" t="s">
        <v>19</v>
      </c>
      <c r="D5" s="12">
        <f>E5+F5+G5</f>
        <v>21</v>
      </c>
      <c r="E5" s="29">
        <v>7.5</v>
      </c>
      <c r="F5" s="29">
        <v>7.5</v>
      </c>
      <c r="G5" s="52">
        <v>6</v>
      </c>
      <c r="H5" s="23">
        <f>I5+J5+K5</f>
        <v>6</v>
      </c>
      <c r="I5" s="29">
        <v>3</v>
      </c>
      <c r="J5" s="29">
        <v>2</v>
      </c>
      <c r="K5" s="100">
        <v>1</v>
      </c>
      <c r="L5" s="85"/>
      <c r="M5" s="85"/>
      <c r="N5" s="1"/>
    </row>
    <row r="6" spans="1:14" ht="13.5">
      <c r="A6" s="35">
        <v>3</v>
      </c>
      <c r="B6" s="12" t="s">
        <v>18</v>
      </c>
      <c r="C6" s="11" t="s">
        <v>19</v>
      </c>
      <c r="D6" s="12">
        <f>E6+F6+G6</f>
        <v>904.0635</v>
      </c>
      <c r="E6" s="32">
        <f>E4-E5</f>
        <v>336.09389999999996</v>
      </c>
      <c r="F6" s="32">
        <f>F4-F5</f>
        <v>309.6636</v>
      </c>
      <c r="G6" s="32">
        <f>G4-G5</f>
        <v>258.306</v>
      </c>
      <c r="H6" s="23">
        <f>I6+J6+K6</f>
        <v>262.962</v>
      </c>
      <c r="I6" s="32">
        <f>I4-I5</f>
        <v>131.481</v>
      </c>
      <c r="J6" s="32">
        <f>J4-J5</f>
        <v>78.689</v>
      </c>
      <c r="K6" s="99">
        <f>K4-K5</f>
        <v>52.792</v>
      </c>
      <c r="L6" s="86"/>
      <c r="M6" s="85"/>
      <c r="N6" s="1"/>
    </row>
    <row r="7" spans="1:14" ht="13.5">
      <c r="A7" s="35">
        <v>4</v>
      </c>
      <c r="B7" s="14" t="s">
        <v>44</v>
      </c>
      <c r="C7" s="15" t="s">
        <v>0</v>
      </c>
      <c r="D7" s="17">
        <f>ROUND(D8/D6,1)</f>
        <v>154.1</v>
      </c>
      <c r="E7" s="36">
        <v>154.8</v>
      </c>
      <c r="F7" s="36">
        <v>154.3</v>
      </c>
      <c r="G7" s="53">
        <v>153</v>
      </c>
      <c r="H7" s="35">
        <f>ROUND(H8/H6,1)</f>
        <v>153.9</v>
      </c>
      <c r="I7" s="36">
        <v>153.2</v>
      </c>
      <c r="J7" s="36">
        <v>153.1</v>
      </c>
      <c r="K7" s="15">
        <v>156.8</v>
      </c>
      <c r="L7" s="85"/>
      <c r="M7" s="85"/>
      <c r="N7" s="1"/>
    </row>
    <row r="8" spans="1:14" ht="13.5">
      <c r="A8" s="35">
        <v>5</v>
      </c>
      <c r="B8" s="12" t="s">
        <v>20</v>
      </c>
      <c r="C8" s="16" t="s">
        <v>10</v>
      </c>
      <c r="D8" s="12">
        <f>E8+F8+G8</f>
        <v>139316</v>
      </c>
      <c r="E8" s="26">
        <f>ROUND(E6*E7,0)-7</f>
        <v>52020</v>
      </c>
      <c r="F8" s="26">
        <f>ROUND(F6*F7,0)-3</f>
        <v>47778</v>
      </c>
      <c r="G8" s="34">
        <f>ROUND(G6*G7,0)-3</f>
        <v>39518</v>
      </c>
      <c r="H8" s="25">
        <f>I8+J8+K8</f>
        <v>40467</v>
      </c>
      <c r="I8" s="26">
        <f>ROUND(I6*I7,0)</f>
        <v>20143</v>
      </c>
      <c r="J8" s="26">
        <f>ROUND(J6*J7,0)</f>
        <v>12047</v>
      </c>
      <c r="K8" s="27">
        <f>ROUND(K6*K7,0)-1</f>
        <v>8277</v>
      </c>
      <c r="L8" s="85"/>
      <c r="M8" s="85"/>
      <c r="N8" s="1"/>
    </row>
    <row r="9" spans="1:14" ht="13.5">
      <c r="A9" s="35"/>
      <c r="B9" s="17" t="s">
        <v>21</v>
      </c>
      <c r="C9" s="16" t="s">
        <v>10</v>
      </c>
      <c r="D9" s="12">
        <f>E9+F9+G9</f>
        <v>139316</v>
      </c>
      <c r="E9" s="38">
        <f>E8</f>
        <v>52020</v>
      </c>
      <c r="F9" s="38">
        <f>F8</f>
        <v>47778</v>
      </c>
      <c r="G9" s="54">
        <f>G8</f>
        <v>39518</v>
      </c>
      <c r="H9" s="25">
        <f>I9+J9+K9</f>
        <v>40467</v>
      </c>
      <c r="I9" s="38">
        <f>I8</f>
        <v>20143</v>
      </c>
      <c r="J9" s="38">
        <f>J8</f>
        <v>12047</v>
      </c>
      <c r="K9" s="39">
        <f>K8</f>
        <v>8277</v>
      </c>
      <c r="L9" s="85"/>
      <c r="M9" s="85"/>
      <c r="N9" s="1"/>
    </row>
    <row r="10" spans="1:14" ht="13.5">
      <c r="A10" s="35"/>
      <c r="B10" s="17"/>
      <c r="C10" s="16" t="s">
        <v>22</v>
      </c>
      <c r="D10" s="12">
        <f>E10+F10+G10</f>
        <v>120619</v>
      </c>
      <c r="E10" s="38">
        <f>ROUND(E9/1.155,0)</f>
        <v>45039</v>
      </c>
      <c r="F10" s="38">
        <f>ROUND(F9/1.155,0)</f>
        <v>41366</v>
      </c>
      <c r="G10" s="54">
        <f>ROUND(G9/1.155,0)-1</f>
        <v>34214</v>
      </c>
      <c r="H10" s="25">
        <f>I10+J10+K10</f>
        <v>35036</v>
      </c>
      <c r="I10" s="38">
        <f>ROUND(I9/1.155,0)</f>
        <v>17440</v>
      </c>
      <c r="J10" s="38">
        <f>ROUND(J9/1.155,0)</f>
        <v>10430</v>
      </c>
      <c r="K10" s="39">
        <f>ROUND(K9/1.155,0)</f>
        <v>7166</v>
      </c>
      <c r="L10" s="85"/>
      <c r="M10" s="85"/>
      <c r="N10" s="1"/>
    </row>
    <row r="11" spans="1:14" ht="13.5">
      <c r="A11" s="35">
        <v>6</v>
      </c>
      <c r="B11" s="17" t="s">
        <v>41</v>
      </c>
      <c r="C11" s="16" t="s">
        <v>42</v>
      </c>
      <c r="D11" s="36">
        <f>ROUND(D12/D6,2)</f>
        <v>31.97</v>
      </c>
      <c r="E11" s="38">
        <f aca="true" t="shared" si="0" ref="E11:J11">ROUND(E12/E6,2)</f>
        <v>28.86</v>
      </c>
      <c r="F11" s="38">
        <f t="shared" si="0"/>
        <v>30.68</v>
      </c>
      <c r="G11" s="54">
        <f t="shared" si="0"/>
        <v>37.55</v>
      </c>
      <c r="H11" s="37">
        <f t="shared" si="0"/>
        <v>44.53</v>
      </c>
      <c r="I11" s="38">
        <f t="shared" si="0"/>
        <v>44.11</v>
      </c>
      <c r="J11" s="38">
        <f t="shared" si="0"/>
        <v>40.67</v>
      </c>
      <c r="K11" s="39">
        <f>ROUND(K12/K6,2)</f>
        <v>51.33</v>
      </c>
      <c r="L11" s="85"/>
      <c r="M11" s="85"/>
      <c r="N11" s="1"/>
    </row>
    <row r="12" spans="1:14" ht="13.5">
      <c r="A12" s="35">
        <v>7</v>
      </c>
      <c r="B12" s="12" t="s">
        <v>23</v>
      </c>
      <c r="C12" s="16" t="s">
        <v>24</v>
      </c>
      <c r="D12" s="12">
        <f>E12+F12+G12</f>
        <v>28900</v>
      </c>
      <c r="E12" s="26">
        <v>9700</v>
      </c>
      <c r="F12" s="26">
        <v>9500</v>
      </c>
      <c r="G12" s="34">
        <v>9700</v>
      </c>
      <c r="H12" s="25">
        <f>I12+J12+K12</f>
        <v>11710</v>
      </c>
      <c r="I12" s="26">
        <v>5800</v>
      </c>
      <c r="J12" s="26">
        <v>3200</v>
      </c>
      <c r="K12" s="27">
        <v>2710</v>
      </c>
      <c r="L12" s="86"/>
      <c r="M12" s="85"/>
      <c r="N12" s="1"/>
    </row>
    <row r="13" spans="1:14" ht="13.5">
      <c r="A13" s="35">
        <v>8</v>
      </c>
      <c r="B13" s="12" t="s">
        <v>25</v>
      </c>
      <c r="C13" s="16" t="s">
        <v>33</v>
      </c>
      <c r="D13" s="12">
        <f>E13+F13+G13</f>
        <v>23120</v>
      </c>
      <c r="E13" s="26">
        <f>0.8*E12</f>
        <v>7760</v>
      </c>
      <c r="F13" s="26">
        <f>0.8*F12</f>
        <v>7600</v>
      </c>
      <c r="G13" s="34">
        <f>0.8*G12</f>
        <v>7760</v>
      </c>
      <c r="H13" s="25">
        <f>I13+J13+K13</f>
        <v>9368</v>
      </c>
      <c r="I13" s="26">
        <f>0.8*I12</f>
        <v>4640</v>
      </c>
      <c r="J13" s="26">
        <f>0.8*J12</f>
        <v>2560</v>
      </c>
      <c r="K13" s="27">
        <f>0.8*K12</f>
        <v>2168</v>
      </c>
      <c r="L13" s="85"/>
      <c r="M13" s="85"/>
      <c r="N13" s="1"/>
    </row>
    <row r="14" spans="1:14" ht="13.5">
      <c r="A14" s="35">
        <v>9</v>
      </c>
      <c r="B14" s="17" t="s">
        <v>43</v>
      </c>
      <c r="C14" s="16" t="s">
        <v>45</v>
      </c>
      <c r="D14" s="12">
        <f>ROUND(D15/D6,3)</f>
        <v>2.009</v>
      </c>
      <c r="E14" s="40">
        <f aca="true" t="shared" si="1" ref="E14:K14">ROUND(E15/E6,3)</f>
        <v>1.922</v>
      </c>
      <c r="F14" s="40">
        <f t="shared" si="1"/>
        <v>1.986</v>
      </c>
      <c r="G14" s="55">
        <f t="shared" si="1"/>
        <v>2.149</v>
      </c>
      <c r="H14" s="25">
        <f t="shared" si="1"/>
        <v>4.141</v>
      </c>
      <c r="I14" s="40">
        <f t="shared" si="1"/>
        <v>3.423</v>
      </c>
      <c r="J14" s="40">
        <f t="shared" si="1"/>
        <v>4.194</v>
      </c>
      <c r="K14" s="101">
        <f t="shared" si="1"/>
        <v>5.853</v>
      </c>
      <c r="L14" s="85"/>
      <c r="M14" s="85"/>
      <c r="N14" s="1"/>
    </row>
    <row r="15" spans="1:14" ht="13.5">
      <c r="A15" s="35">
        <v>10</v>
      </c>
      <c r="B15" s="12" t="s">
        <v>27</v>
      </c>
      <c r="C15" s="16" t="s">
        <v>22</v>
      </c>
      <c r="D15" s="12">
        <f>E15+F15+G15</f>
        <v>1816</v>
      </c>
      <c r="E15" s="26">
        <v>646</v>
      </c>
      <c r="F15" s="26">
        <v>615</v>
      </c>
      <c r="G15" s="34">
        <v>555</v>
      </c>
      <c r="H15" s="25">
        <f>I15+J15+K15</f>
        <v>1089</v>
      </c>
      <c r="I15" s="26">
        <v>450</v>
      </c>
      <c r="J15" s="26">
        <v>330</v>
      </c>
      <c r="K15" s="27">
        <v>309</v>
      </c>
      <c r="L15" s="85"/>
      <c r="M15" s="85"/>
      <c r="N15" s="1"/>
    </row>
    <row r="16" spans="1:14" ht="13.5">
      <c r="A16" s="35">
        <v>11</v>
      </c>
      <c r="B16" s="12" t="s">
        <v>26</v>
      </c>
      <c r="C16" s="16" t="s">
        <v>22</v>
      </c>
      <c r="D16" s="12">
        <f>D18+D17</f>
        <v>196</v>
      </c>
      <c r="E16" s="26">
        <v>70</v>
      </c>
      <c r="F16" s="26">
        <v>66</v>
      </c>
      <c r="G16" s="34">
        <v>60</v>
      </c>
      <c r="H16" s="25">
        <f>H18+H17</f>
        <v>148</v>
      </c>
      <c r="I16" s="26">
        <f>I18+I17</f>
        <v>60</v>
      </c>
      <c r="J16" s="26">
        <f>J18+J17</f>
        <v>52</v>
      </c>
      <c r="K16" s="27">
        <f>K18+K17</f>
        <v>36</v>
      </c>
      <c r="L16" s="85"/>
      <c r="M16" s="85"/>
      <c r="N16" s="1"/>
    </row>
    <row r="17" spans="1:14" ht="13.5">
      <c r="A17" s="35"/>
      <c r="B17" s="17" t="s">
        <v>50</v>
      </c>
      <c r="C17" s="16" t="s">
        <v>22</v>
      </c>
      <c r="D17" s="17">
        <f aca="true" t="shared" si="2" ref="D17:D22">E17+F17+G17</f>
        <v>48</v>
      </c>
      <c r="E17" s="38">
        <v>16</v>
      </c>
      <c r="F17" s="38">
        <v>16</v>
      </c>
      <c r="G17" s="54">
        <v>16</v>
      </c>
      <c r="H17" s="37">
        <f aca="true" t="shared" si="3" ref="H17:H22">I17+J17+K17</f>
        <v>46</v>
      </c>
      <c r="I17" s="38">
        <v>21</v>
      </c>
      <c r="J17" s="38">
        <v>17</v>
      </c>
      <c r="K17" s="39">
        <v>8</v>
      </c>
      <c r="L17" s="85"/>
      <c r="M17" s="85"/>
      <c r="N17" s="1"/>
    </row>
    <row r="18" spans="1:14" ht="13.5">
      <c r="A18" s="35"/>
      <c r="B18" s="17" t="s">
        <v>51</v>
      </c>
      <c r="C18" s="16" t="s">
        <v>22</v>
      </c>
      <c r="D18" s="17">
        <f t="shared" si="2"/>
        <v>148</v>
      </c>
      <c r="E18" s="38">
        <v>54</v>
      </c>
      <c r="F18" s="38">
        <v>50</v>
      </c>
      <c r="G18" s="54">
        <v>44</v>
      </c>
      <c r="H18" s="37">
        <f t="shared" si="3"/>
        <v>102</v>
      </c>
      <c r="I18" s="38">
        <v>39</v>
      </c>
      <c r="J18" s="38">
        <v>35</v>
      </c>
      <c r="K18" s="39">
        <v>28</v>
      </c>
      <c r="L18" s="85"/>
      <c r="M18" s="85"/>
      <c r="N18" s="1"/>
    </row>
    <row r="19" spans="1:14" ht="13.5">
      <c r="A19" s="35">
        <v>12</v>
      </c>
      <c r="B19" s="12" t="s">
        <v>36</v>
      </c>
      <c r="C19" s="16" t="s">
        <v>22</v>
      </c>
      <c r="D19" s="12">
        <f t="shared" si="2"/>
        <v>52</v>
      </c>
      <c r="E19" s="26">
        <v>18</v>
      </c>
      <c r="F19" s="26">
        <v>17</v>
      </c>
      <c r="G19" s="34">
        <v>17</v>
      </c>
      <c r="H19" s="25">
        <f t="shared" si="3"/>
        <v>5</v>
      </c>
      <c r="I19" s="26">
        <v>5</v>
      </c>
      <c r="J19" s="26">
        <v>0</v>
      </c>
      <c r="K19" s="27">
        <v>0</v>
      </c>
      <c r="L19" s="86"/>
      <c r="M19" s="85"/>
      <c r="N19" s="1"/>
    </row>
    <row r="20" spans="1:14" ht="13.5">
      <c r="A20" s="35">
        <v>13</v>
      </c>
      <c r="B20" s="12" t="s">
        <v>37</v>
      </c>
      <c r="C20" s="16" t="s">
        <v>22</v>
      </c>
      <c r="D20" s="12">
        <f t="shared" si="2"/>
        <v>16</v>
      </c>
      <c r="E20" s="38">
        <v>3</v>
      </c>
      <c r="F20" s="38">
        <v>4</v>
      </c>
      <c r="G20" s="54">
        <v>9</v>
      </c>
      <c r="H20" s="25">
        <f t="shared" si="3"/>
        <v>2</v>
      </c>
      <c r="I20" s="38">
        <v>2</v>
      </c>
      <c r="J20" s="38">
        <v>0</v>
      </c>
      <c r="K20" s="39">
        <v>0</v>
      </c>
      <c r="L20" s="85"/>
      <c r="M20" s="85"/>
      <c r="N20" s="1"/>
    </row>
    <row r="21" spans="1:14" ht="13.5">
      <c r="A21" s="35">
        <v>14</v>
      </c>
      <c r="B21" s="12" t="s">
        <v>29</v>
      </c>
      <c r="C21" s="16" t="s">
        <v>19</v>
      </c>
      <c r="D21" s="12">
        <f t="shared" si="2"/>
        <v>3</v>
      </c>
      <c r="E21" s="26">
        <v>1</v>
      </c>
      <c r="F21" s="26">
        <v>1</v>
      </c>
      <c r="G21" s="34">
        <v>1</v>
      </c>
      <c r="H21" s="25">
        <f t="shared" si="3"/>
        <v>0.5</v>
      </c>
      <c r="I21" s="26">
        <v>0.5</v>
      </c>
      <c r="J21" s="26">
        <v>0</v>
      </c>
      <c r="K21" s="27">
        <v>0</v>
      </c>
      <c r="L21" s="85"/>
      <c r="M21" s="85"/>
      <c r="N21" s="1"/>
    </row>
    <row r="22" spans="1:14" ht="13.5">
      <c r="A22" s="35">
        <v>15</v>
      </c>
      <c r="B22" s="12" t="s">
        <v>38</v>
      </c>
      <c r="C22" s="16" t="s">
        <v>19</v>
      </c>
      <c r="D22" s="12">
        <f t="shared" si="2"/>
        <v>137.632</v>
      </c>
      <c r="E22" s="26">
        <v>50.431</v>
      </c>
      <c r="F22" s="26">
        <v>45.921</v>
      </c>
      <c r="G22" s="34">
        <v>41.28</v>
      </c>
      <c r="H22" s="25">
        <f t="shared" si="3"/>
        <v>61.249</v>
      </c>
      <c r="I22" s="34">
        <v>30.489</v>
      </c>
      <c r="J22" s="34">
        <v>18.98</v>
      </c>
      <c r="K22" s="27">
        <v>11.78</v>
      </c>
      <c r="L22" s="85"/>
      <c r="M22" s="85"/>
      <c r="N22" s="1"/>
    </row>
    <row r="23" spans="1:14" ht="13.5">
      <c r="A23" s="35"/>
      <c r="B23" s="17"/>
      <c r="C23" s="18" t="s">
        <v>28</v>
      </c>
      <c r="D23" s="17">
        <f aca="true" t="shared" si="4" ref="D23:K23">ROUND(D22/(D6+D21)*100,2)</f>
        <v>15.17</v>
      </c>
      <c r="E23" s="38">
        <f t="shared" si="4"/>
        <v>14.96</v>
      </c>
      <c r="F23" s="38">
        <f t="shared" si="4"/>
        <v>14.78</v>
      </c>
      <c r="G23" s="54">
        <f t="shared" si="4"/>
        <v>15.92</v>
      </c>
      <c r="H23" s="37">
        <f t="shared" si="4"/>
        <v>23.25</v>
      </c>
      <c r="I23" s="38">
        <f t="shared" si="4"/>
        <v>23.1</v>
      </c>
      <c r="J23" s="38">
        <f t="shared" si="4"/>
        <v>24.12</v>
      </c>
      <c r="K23" s="39">
        <f t="shared" si="4"/>
        <v>22.31</v>
      </c>
      <c r="L23" s="85"/>
      <c r="M23" s="85"/>
      <c r="N23" s="1"/>
    </row>
    <row r="24" spans="1:14" ht="13.5">
      <c r="A24" s="35">
        <v>16</v>
      </c>
      <c r="B24" s="12" t="s">
        <v>30</v>
      </c>
      <c r="C24" s="16" t="s">
        <v>19</v>
      </c>
      <c r="D24" s="56">
        <f>E24+F24+G24</f>
        <v>769.4314999999999</v>
      </c>
      <c r="E24" s="44">
        <f>E6+E21-E22</f>
        <v>286.6629</v>
      </c>
      <c r="F24" s="44">
        <f>F6+F21-F22</f>
        <v>264.7426</v>
      </c>
      <c r="G24" s="57">
        <f>G6+G21-G22</f>
        <v>218.02599999999998</v>
      </c>
      <c r="H24" s="43">
        <f>I24+J24+K24</f>
        <v>202.21299999999997</v>
      </c>
      <c r="I24" s="44">
        <f>I6+I21-I22</f>
        <v>101.49199999999999</v>
      </c>
      <c r="J24" s="44">
        <f>J6+J21-J22</f>
        <v>59.70899999999999</v>
      </c>
      <c r="K24" s="45">
        <f>K6+K21-K22</f>
        <v>41.012</v>
      </c>
      <c r="L24" s="87"/>
      <c r="M24" s="85"/>
      <c r="N24" s="88"/>
    </row>
    <row r="25" spans="1:14" ht="13.5">
      <c r="A25" s="35"/>
      <c r="B25" s="12" t="s">
        <v>85</v>
      </c>
      <c r="C25" s="16" t="s">
        <v>19</v>
      </c>
      <c r="D25" s="12"/>
      <c r="E25" s="26"/>
      <c r="F25" s="26"/>
      <c r="G25" s="34"/>
      <c r="H25" s="25"/>
      <c r="I25" s="26"/>
      <c r="J25" s="26"/>
      <c r="K25" s="27"/>
      <c r="L25" s="89"/>
      <c r="M25" s="85"/>
      <c r="N25" s="88"/>
    </row>
    <row r="26" spans="1:14" s="4" customFormat="1" ht="13.5">
      <c r="A26" s="58"/>
      <c r="B26" s="17" t="s">
        <v>87</v>
      </c>
      <c r="C26" s="59" t="s">
        <v>19</v>
      </c>
      <c r="D26" s="60">
        <v>657.094</v>
      </c>
      <c r="E26" s="61">
        <f>E24*85.4%</f>
        <v>244.81011660000001</v>
      </c>
      <c r="F26" s="61">
        <f aca="true" t="shared" si="5" ref="F26:K26">F24*85.4%</f>
        <v>226.0901804</v>
      </c>
      <c r="G26" s="62">
        <f t="shared" si="5"/>
        <v>186.194204</v>
      </c>
      <c r="H26" s="63">
        <f>I26+J26+K26</f>
        <v>172.690416</v>
      </c>
      <c r="I26" s="61">
        <f t="shared" si="5"/>
        <v>86.674168</v>
      </c>
      <c r="J26" s="61">
        <v>50.992</v>
      </c>
      <c r="K26" s="102">
        <f t="shared" si="5"/>
        <v>35.02424800000001</v>
      </c>
      <c r="L26" s="87"/>
      <c r="M26" s="85"/>
      <c r="N26" s="88"/>
    </row>
    <row r="27" spans="1:14" s="4" customFormat="1" ht="13.5">
      <c r="A27" s="58"/>
      <c r="B27" s="17" t="s">
        <v>88</v>
      </c>
      <c r="C27" s="59" t="s">
        <v>19</v>
      </c>
      <c r="D27" s="60">
        <v>75.405</v>
      </c>
      <c r="E27" s="61">
        <f>E24*9.8%</f>
        <v>28.092964199999997</v>
      </c>
      <c r="F27" s="61">
        <f aca="true" t="shared" si="6" ref="F27:K27">F24*9.8%</f>
        <v>25.944774799999998</v>
      </c>
      <c r="G27" s="62">
        <f t="shared" si="6"/>
        <v>21.366547999999998</v>
      </c>
      <c r="H27" s="63">
        <v>19.816</v>
      </c>
      <c r="I27" s="61">
        <f t="shared" si="6"/>
        <v>9.946216</v>
      </c>
      <c r="J27" s="61">
        <f t="shared" si="6"/>
        <v>5.851481999999999</v>
      </c>
      <c r="K27" s="102">
        <f t="shared" si="6"/>
        <v>4.019176</v>
      </c>
      <c r="L27" s="87"/>
      <c r="M27" s="85"/>
      <c r="N27" s="88"/>
    </row>
    <row r="28" spans="1:14" s="4" customFormat="1" ht="14.25" thickBot="1">
      <c r="A28" s="103"/>
      <c r="B28" s="64" t="s">
        <v>89</v>
      </c>
      <c r="C28" s="73" t="s">
        <v>19</v>
      </c>
      <c r="D28" s="104">
        <f>E28+F28+G28</f>
        <v>36.93271199999991</v>
      </c>
      <c r="E28" s="105">
        <f>E24-E26-E27</f>
        <v>13.759819199999967</v>
      </c>
      <c r="F28" s="105">
        <f>F24-F26-F27</f>
        <v>12.707644799999976</v>
      </c>
      <c r="G28" s="105">
        <f>G24-G26-G27</f>
        <v>10.46524799999997</v>
      </c>
      <c r="H28" s="106">
        <v>9.707</v>
      </c>
      <c r="I28" s="105">
        <f>I24-I26-I27</f>
        <v>4.871615999999996</v>
      </c>
      <c r="J28" s="105">
        <f>J24-J26-J27</f>
        <v>2.8655179999999927</v>
      </c>
      <c r="K28" s="107">
        <f>K24-K26-K27</f>
        <v>1.9685759999999934</v>
      </c>
      <c r="L28" s="87"/>
      <c r="M28" s="85"/>
      <c r="N28" s="88"/>
    </row>
    <row r="29" spans="1:14" ht="13.5">
      <c r="A29" s="92"/>
      <c r="B29" s="93"/>
      <c r="C29" s="93"/>
      <c r="D29" s="94"/>
      <c r="E29" s="94"/>
      <c r="F29" s="94"/>
      <c r="G29" s="94"/>
      <c r="H29" s="94"/>
      <c r="I29" s="94"/>
      <c r="J29" s="94"/>
      <c r="K29" s="94"/>
      <c r="L29" s="95"/>
      <c r="M29" s="85"/>
      <c r="N29" s="88"/>
    </row>
    <row r="30" spans="1:14" ht="13.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5"/>
      <c r="M30" s="85"/>
      <c r="N30" s="88"/>
    </row>
    <row r="31" spans="1:14" ht="13.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5"/>
      <c r="M31" s="85"/>
      <c r="N31" s="88"/>
    </row>
    <row r="32" spans="1:14" ht="13.5">
      <c r="A32" s="92"/>
      <c r="B32" s="92"/>
      <c r="C32" s="92"/>
      <c r="D32" s="96"/>
      <c r="E32" s="96"/>
      <c r="F32" s="96"/>
      <c r="G32" s="96"/>
      <c r="H32" s="96"/>
      <c r="I32" s="96"/>
      <c r="J32" s="96"/>
      <c r="K32" s="96"/>
      <c r="L32" s="95"/>
      <c r="M32" s="85"/>
      <c r="N32" s="1"/>
    </row>
    <row r="33" spans="1:14" ht="13.5">
      <c r="A33" s="93"/>
      <c r="B33" s="93"/>
      <c r="C33" s="92"/>
      <c r="D33" s="93"/>
      <c r="E33" s="92"/>
      <c r="F33" s="92"/>
      <c r="G33" s="92"/>
      <c r="H33" s="93"/>
      <c r="I33" s="92"/>
      <c r="J33" s="92"/>
      <c r="K33" s="92"/>
      <c r="L33" s="97"/>
      <c r="M33" s="85"/>
      <c r="N33" s="1"/>
    </row>
    <row r="34" spans="1:14" ht="13.5">
      <c r="A34" s="93"/>
      <c r="B34" s="93"/>
      <c r="C34" s="92"/>
      <c r="D34" s="98"/>
      <c r="E34" s="98"/>
      <c r="F34" s="98"/>
      <c r="G34" s="98"/>
      <c r="H34" s="98"/>
      <c r="I34" s="98"/>
      <c r="J34" s="98"/>
      <c r="K34" s="98"/>
      <c r="L34" s="97"/>
      <c r="M34" s="85"/>
      <c r="N34" s="1"/>
    </row>
    <row r="35" spans="1:15" ht="42.75" customHeight="1" thickBot="1">
      <c r="A35" s="279" t="s">
        <v>52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85"/>
      <c r="N35" s="1"/>
      <c r="O35" s="1"/>
    </row>
    <row r="36" spans="1:15" ht="13.5">
      <c r="A36" s="49"/>
      <c r="B36" s="7" t="s">
        <v>11</v>
      </c>
      <c r="C36" s="8" t="s">
        <v>1</v>
      </c>
      <c r="D36" s="51" t="s">
        <v>12</v>
      </c>
      <c r="E36" s="21" t="s">
        <v>8</v>
      </c>
      <c r="F36" s="21" t="s">
        <v>9</v>
      </c>
      <c r="G36" s="65" t="s">
        <v>13</v>
      </c>
      <c r="H36" s="20" t="s">
        <v>14</v>
      </c>
      <c r="I36" s="21" t="s">
        <v>15</v>
      </c>
      <c r="J36" s="21" t="s">
        <v>16</v>
      </c>
      <c r="K36" s="22" t="s">
        <v>17</v>
      </c>
      <c r="L36" s="112" t="s">
        <v>55</v>
      </c>
      <c r="M36" s="85"/>
      <c r="N36" s="85"/>
      <c r="O36" s="85"/>
    </row>
    <row r="37" spans="1:15" ht="13.5">
      <c r="A37" s="35">
        <v>1</v>
      </c>
      <c r="B37" s="10" t="s">
        <v>39</v>
      </c>
      <c r="C37" s="11" t="s">
        <v>19</v>
      </c>
      <c r="D37" s="12">
        <f>E37+F37+G37</f>
        <v>135.123</v>
      </c>
      <c r="E37" s="26">
        <f>50*0.90082</f>
        <v>45.041</v>
      </c>
      <c r="F37" s="26">
        <f>50*0.90082</f>
        <v>45.041</v>
      </c>
      <c r="G37" s="34">
        <f>50*0.90082</f>
        <v>45.041</v>
      </c>
      <c r="H37" s="25">
        <f>I37+J37+K37</f>
        <v>705.835</v>
      </c>
      <c r="I37" s="26">
        <f>180*0.88229375</f>
        <v>158.812875</v>
      </c>
      <c r="J37" s="26">
        <f>270*0.88229375</f>
        <v>238.2193125</v>
      </c>
      <c r="K37" s="27">
        <f>350*0.88229375</f>
        <v>308.8028125</v>
      </c>
      <c r="L37" s="28">
        <f>D37+H37+D4+H4</f>
        <v>2034.9835</v>
      </c>
      <c r="M37" s="85"/>
      <c r="N37" s="1"/>
      <c r="O37" s="1"/>
    </row>
    <row r="38" spans="1:15" ht="13.5">
      <c r="A38" s="35">
        <v>2</v>
      </c>
      <c r="B38" s="13" t="s">
        <v>40</v>
      </c>
      <c r="C38" s="11" t="s">
        <v>19</v>
      </c>
      <c r="D38" s="12">
        <f>E38+F38+G38</f>
        <v>3</v>
      </c>
      <c r="E38" s="30">
        <v>1</v>
      </c>
      <c r="F38" s="30">
        <v>1</v>
      </c>
      <c r="G38" s="66">
        <v>1</v>
      </c>
      <c r="H38" s="25">
        <f>I38+J38+K38</f>
        <v>16</v>
      </c>
      <c r="I38" s="30">
        <v>4</v>
      </c>
      <c r="J38" s="30">
        <v>5</v>
      </c>
      <c r="K38" s="31">
        <v>7</v>
      </c>
      <c r="L38" s="28">
        <f>D38+H38+D5+H5</f>
        <v>46</v>
      </c>
      <c r="M38" s="85"/>
      <c r="N38" s="1"/>
      <c r="O38" s="1"/>
    </row>
    <row r="39" spans="1:15" ht="13.5">
      <c r="A39" s="35">
        <v>3</v>
      </c>
      <c r="B39" s="12" t="s">
        <v>18</v>
      </c>
      <c r="C39" s="11" t="s">
        <v>19</v>
      </c>
      <c r="D39" s="23">
        <f>E39+F39+G39</f>
        <v>132.123</v>
      </c>
      <c r="E39" s="34">
        <f aca="true" t="shared" si="7" ref="E39:K39">E37-E38</f>
        <v>44.041</v>
      </c>
      <c r="F39" s="34">
        <f t="shared" si="7"/>
        <v>44.041</v>
      </c>
      <c r="G39" s="34">
        <f t="shared" si="7"/>
        <v>44.041</v>
      </c>
      <c r="H39" s="33">
        <f t="shared" si="7"/>
        <v>689.835</v>
      </c>
      <c r="I39" s="34">
        <f t="shared" si="7"/>
        <v>154.812875</v>
      </c>
      <c r="J39" s="34">
        <f t="shared" si="7"/>
        <v>233.2193125</v>
      </c>
      <c r="K39" s="27">
        <f t="shared" si="7"/>
        <v>301.8028125</v>
      </c>
      <c r="L39" s="113">
        <f>D39+H39+D6+H6</f>
        <v>1988.9835</v>
      </c>
      <c r="M39" s="85"/>
      <c r="N39" s="1"/>
      <c r="O39" s="1"/>
    </row>
    <row r="40" spans="1:15" ht="13.5">
      <c r="A40" s="35">
        <v>4</v>
      </c>
      <c r="B40" s="14" t="s">
        <v>44</v>
      </c>
      <c r="C40" s="11" t="s">
        <v>0</v>
      </c>
      <c r="D40" s="35">
        <f>ROUND(D41/D39,1)</f>
        <v>150</v>
      </c>
      <c r="E40" s="38">
        <v>150.8</v>
      </c>
      <c r="F40" s="38">
        <v>149.6</v>
      </c>
      <c r="G40" s="54">
        <v>149.6</v>
      </c>
      <c r="H40" s="37">
        <f>ROUND(H41/H39,1)</f>
        <v>155.1</v>
      </c>
      <c r="I40" s="38">
        <v>155</v>
      </c>
      <c r="J40" s="38">
        <v>155.2</v>
      </c>
      <c r="K40" s="39">
        <v>155.1</v>
      </c>
      <c r="L40" s="28">
        <f>ROUND(L41/L39,1)</f>
        <v>154.1</v>
      </c>
      <c r="M40" s="85"/>
      <c r="N40" s="1"/>
      <c r="O40" s="1"/>
    </row>
    <row r="41" spans="1:15" ht="13.5">
      <c r="A41" s="35">
        <v>5</v>
      </c>
      <c r="B41" s="12" t="s">
        <v>20</v>
      </c>
      <c r="C41" s="16" t="s">
        <v>10</v>
      </c>
      <c r="D41" s="23">
        <f>E41+F41+G41</f>
        <v>19818</v>
      </c>
      <c r="E41" s="26">
        <f>ROUND(E39*E40,0)</f>
        <v>6641</v>
      </c>
      <c r="F41" s="26">
        <f>ROUND(F39*F40,0)</f>
        <v>6589</v>
      </c>
      <c r="G41" s="34">
        <f>ROUND(G39*G40,0)-1</f>
        <v>6588</v>
      </c>
      <c r="H41" s="25">
        <f>I41+J41+K41</f>
        <v>107000</v>
      </c>
      <c r="I41" s="34">
        <f>ROUND(I39*I40,0)-1</f>
        <v>23995</v>
      </c>
      <c r="J41" s="34">
        <f>ROUND(J39*J40,0)-1</f>
        <v>36195</v>
      </c>
      <c r="K41" s="123">
        <v>46810</v>
      </c>
      <c r="L41" s="113">
        <f>D41+H41+D8+H8</f>
        <v>306601</v>
      </c>
      <c r="M41" s="85"/>
      <c r="N41" s="1"/>
      <c r="O41" s="1"/>
    </row>
    <row r="42" spans="1:15" ht="13.5">
      <c r="A42" s="35"/>
      <c r="B42" s="17" t="s">
        <v>21</v>
      </c>
      <c r="C42" s="16" t="s">
        <v>10</v>
      </c>
      <c r="D42" s="23">
        <f>E42+F42+G42</f>
        <v>19818</v>
      </c>
      <c r="E42" s="38">
        <f aca="true" t="shared" si="8" ref="E42:K42">E41</f>
        <v>6641</v>
      </c>
      <c r="F42" s="38">
        <f t="shared" si="8"/>
        <v>6589</v>
      </c>
      <c r="G42" s="54">
        <f t="shared" si="8"/>
        <v>6588</v>
      </c>
      <c r="H42" s="37">
        <f t="shared" si="8"/>
        <v>107000</v>
      </c>
      <c r="I42" s="38">
        <f t="shared" si="8"/>
        <v>23995</v>
      </c>
      <c r="J42" s="38">
        <f t="shared" si="8"/>
        <v>36195</v>
      </c>
      <c r="K42" s="124">
        <f t="shared" si="8"/>
        <v>46810</v>
      </c>
      <c r="L42" s="28">
        <f>D42+H42+D9+H9</f>
        <v>306601</v>
      </c>
      <c r="M42" s="85"/>
      <c r="N42" s="1"/>
      <c r="O42" s="1"/>
    </row>
    <row r="43" spans="1:15" ht="13.5">
      <c r="A43" s="35"/>
      <c r="B43" s="17"/>
      <c r="C43" s="16" t="s">
        <v>22</v>
      </c>
      <c r="D43" s="23">
        <f>E43+F43+G43</f>
        <v>17160</v>
      </c>
      <c r="E43" s="38">
        <f>ROUND(E42/1.155,0)</f>
        <v>5750</v>
      </c>
      <c r="F43" s="38">
        <f>ROUND(F42/1.155,0)</f>
        <v>5705</v>
      </c>
      <c r="G43" s="54">
        <f>ROUND(G42/1.155,0)+1</f>
        <v>5705</v>
      </c>
      <c r="H43" s="25">
        <f>I43+J43+K43</f>
        <v>92640</v>
      </c>
      <c r="I43" s="38">
        <f>ROUND(I42/1.155,0)</f>
        <v>20775</v>
      </c>
      <c r="J43" s="38">
        <f>ROUND(J42/1.155,0)</f>
        <v>31338</v>
      </c>
      <c r="K43" s="124">
        <v>40527</v>
      </c>
      <c r="L43" s="28">
        <f>D43+H43+D10+H10</f>
        <v>265455</v>
      </c>
      <c r="M43" s="85"/>
      <c r="N43" s="1"/>
      <c r="O43" s="1"/>
    </row>
    <row r="44" spans="1:15" ht="13.5">
      <c r="A44" s="35">
        <v>6</v>
      </c>
      <c r="B44" s="17" t="s">
        <v>41</v>
      </c>
      <c r="C44" s="16" t="s">
        <v>42</v>
      </c>
      <c r="D44" s="36">
        <f>ROUND(D45/D39,2)</f>
        <v>51.92</v>
      </c>
      <c r="E44" s="38">
        <f aca="true" t="shared" si="9" ref="E44:K44">ROUND(E45/E39,2)</f>
        <v>52.22</v>
      </c>
      <c r="F44" s="38">
        <f t="shared" si="9"/>
        <v>52.22</v>
      </c>
      <c r="G44" s="54">
        <f t="shared" si="9"/>
        <v>51.32</v>
      </c>
      <c r="H44" s="37">
        <f t="shared" si="9"/>
        <v>35.34</v>
      </c>
      <c r="I44" s="38">
        <f t="shared" si="9"/>
        <v>30.85</v>
      </c>
      <c r="J44" s="38">
        <f t="shared" si="9"/>
        <v>39.45</v>
      </c>
      <c r="K44" s="39">
        <f t="shared" si="9"/>
        <v>34.46</v>
      </c>
      <c r="L44" s="28">
        <f>ROUND(L45/L39,2)</f>
        <v>36.12</v>
      </c>
      <c r="M44" s="85"/>
      <c r="N44" s="1"/>
      <c r="O44" s="1"/>
    </row>
    <row r="45" spans="1:15" ht="13.5">
      <c r="A45" s="35">
        <v>7</v>
      </c>
      <c r="B45" s="12" t="s">
        <v>23</v>
      </c>
      <c r="C45" s="16" t="s">
        <v>24</v>
      </c>
      <c r="D45" s="23">
        <f>E45+F45+G45</f>
        <v>6860</v>
      </c>
      <c r="E45" s="26">
        <v>2300</v>
      </c>
      <c r="F45" s="26">
        <v>2300</v>
      </c>
      <c r="G45" s="34">
        <v>2260</v>
      </c>
      <c r="H45" s="25">
        <f>I45+J45+K45</f>
        <v>24376</v>
      </c>
      <c r="I45" s="26">
        <v>4776</v>
      </c>
      <c r="J45" s="26">
        <v>9200</v>
      </c>
      <c r="K45" s="27">
        <v>10400</v>
      </c>
      <c r="L45" s="113">
        <f>D45+H45+D12+H12</f>
        <v>71846</v>
      </c>
      <c r="M45" s="108"/>
      <c r="N45" s="1"/>
      <c r="O45" s="1"/>
    </row>
    <row r="46" spans="1:15" ht="13.5">
      <c r="A46" s="35">
        <v>8</v>
      </c>
      <c r="B46" s="12" t="s">
        <v>25</v>
      </c>
      <c r="C46" s="16" t="s">
        <v>33</v>
      </c>
      <c r="D46" s="23">
        <f>E46+F46+G46</f>
        <v>5488</v>
      </c>
      <c r="E46" s="26">
        <f>0.8*E45</f>
        <v>1840</v>
      </c>
      <c r="F46" s="26">
        <f>0.8*F45</f>
        <v>1840</v>
      </c>
      <c r="G46" s="34">
        <f>0.8*G45</f>
        <v>1808</v>
      </c>
      <c r="H46" s="25">
        <f>I46+J46+K46</f>
        <v>19501</v>
      </c>
      <c r="I46" s="26">
        <f>ROUND(0.8*I45,0)</f>
        <v>3821</v>
      </c>
      <c r="J46" s="26">
        <f>0.8*J45</f>
        <v>7360</v>
      </c>
      <c r="K46" s="27">
        <f>ROUND(0.8*K45,0)</f>
        <v>8320</v>
      </c>
      <c r="L46" s="113">
        <f>D46+H46+D13+H13</f>
        <v>57477</v>
      </c>
      <c r="M46" s="108"/>
      <c r="N46" s="1"/>
      <c r="O46" s="1"/>
    </row>
    <row r="47" spans="1:15" ht="13.5">
      <c r="A47" s="35">
        <v>9</v>
      </c>
      <c r="B47" s="17" t="s">
        <v>43</v>
      </c>
      <c r="C47" s="16" t="s">
        <v>45</v>
      </c>
      <c r="D47" s="17">
        <f>ROUND(D48/D39,3)</f>
        <v>4.39</v>
      </c>
      <c r="E47" s="41">
        <f aca="true" t="shared" si="10" ref="E47:L47">ROUND(E48/E39,3)</f>
        <v>4.541</v>
      </c>
      <c r="F47" s="41">
        <f t="shared" si="10"/>
        <v>4.087</v>
      </c>
      <c r="G47" s="67">
        <f t="shared" si="10"/>
        <v>4.541</v>
      </c>
      <c r="H47" s="37">
        <f t="shared" si="10"/>
        <v>2.263</v>
      </c>
      <c r="I47" s="41">
        <f t="shared" si="10"/>
        <v>2.396</v>
      </c>
      <c r="J47" s="41">
        <f t="shared" si="10"/>
        <v>2.744</v>
      </c>
      <c r="K47" s="42">
        <f t="shared" si="10"/>
        <v>1.822</v>
      </c>
      <c r="L47" s="28">
        <f t="shared" si="10"/>
        <v>2.537</v>
      </c>
      <c r="M47" s="108"/>
      <c r="N47" s="1"/>
      <c r="O47" s="1"/>
    </row>
    <row r="48" spans="1:15" ht="13.5">
      <c r="A48" s="35">
        <v>10</v>
      </c>
      <c r="B48" s="12" t="s">
        <v>27</v>
      </c>
      <c r="C48" s="16" t="s">
        <v>22</v>
      </c>
      <c r="D48" s="23">
        <f>E48+F48+G48</f>
        <v>580</v>
      </c>
      <c r="E48" s="26">
        <v>200</v>
      </c>
      <c r="F48" s="26">
        <v>180</v>
      </c>
      <c r="G48" s="34">
        <v>200</v>
      </c>
      <c r="H48" s="25">
        <f>I48+J48+K48</f>
        <v>1561</v>
      </c>
      <c r="I48" s="26">
        <v>371</v>
      </c>
      <c r="J48" s="26">
        <v>640</v>
      </c>
      <c r="K48" s="27">
        <v>550</v>
      </c>
      <c r="L48" s="113">
        <f aca="true" t="shared" si="11" ref="L48:L55">D48+H48+D15+H15</f>
        <v>5046</v>
      </c>
      <c r="M48" s="108"/>
      <c r="N48" s="1"/>
      <c r="O48" s="1"/>
    </row>
    <row r="49" spans="1:15" ht="13.5">
      <c r="A49" s="35">
        <v>11</v>
      </c>
      <c r="B49" s="12" t="s">
        <v>26</v>
      </c>
      <c r="C49" s="16" t="s">
        <v>22</v>
      </c>
      <c r="D49" s="23">
        <f>D51+D50</f>
        <v>153</v>
      </c>
      <c r="E49" s="26">
        <f aca="true" t="shared" si="12" ref="E49:K49">E51+E50</f>
        <v>42</v>
      </c>
      <c r="F49" s="26">
        <f t="shared" si="12"/>
        <v>40</v>
      </c>
      <c r="G49" s="34">
        <f t="shared" si="12"/>
        <v>71</v>
      </c>
      <c r="H49" s="25">
        <f t="shared" si="12"/>
        <v>185</v>
      </c>
      <c r="I49" s="26">
        <f t="shared" si="12"/>
        <v>65</v>
      </c>
      <c r="J49" s="26">
        <f t="shared" si="12"/>
        <v>60</v>
      </c>
      <c r="K49" s="27">
        <f t="shared" si="12"/>
        <v>60</v>
      </c>
      <c r="L49" s="113">
        <f t="shared" si="11"/>
        <v>682</v>
      </c>
      <c r="M49" s="108"/>
      <c r="N49" s="1"/>
      <c r="O49" s="1"/>
    </row>
    <row r="50" spans="1:15" ht="13.5">
      <c r="A50" s="35"/>
      <c r="B50" s="17" t="s">
        <v>50</v>
      </c>
      <c r="C50" s="16" t="s">
        <v>22</v>
      </c>
      <c r="D50" s="35">
        <f aca="true" t="shared" si="13" ref="D50:D55">E50+F50+G50</f>
        <v>15</v>
      </c>
      <c r="E50" s="38">
        <v>2</v>
      </c>
      <c r="F50" s="38">
        <v>0</v>
      </c>
      <c r="G50" s="54">
        <v>13</v>
      </c>
      <c r="H50" s="37">
        <f aca="true" t="shared" si="14" ref="H50:H55">I50+J50+K50</f>
        <v>53</v>
      </c>
      <c r="I50" s="38">
        <v>21</v>
      </c>
      <c r="J50" s="38">
        <v>16</v>
      </c>
      <c r="K50" s="39">
        <v>16</v>
      </c>
      <c r="L50" s="28">
        <f t="shared" si="11"/>
        <v>162</v>
      </c>
      <c r="M50" s="108"/>
      <c r="N50" s="1"/>
      <c r="O50" s="1"/>
    </row>
    <row r="51" spans="1:15" ht="13.5">
      <c r="A51" s="35"/>
      <c r="B51" s="17" t="s">
        <v>51</v>
      </c>
      <c r="C51" s="16" t="s">
        <v>22</v>
      </c>
      <c r="D51" s="35">
        <f t="shared" si="13"/>
        <v>138</v>
      </c>
      <c r="E51" s="38">
        <v>40</v>
      </c>
      <c r="F51" s="38">
        <v>40</v>
      </c>
      <c r="G51" s="54">
        <v>58</v>
      </c>
      <c r="H51" s="37">
        <f t="shared" si="14"/>
        <v>132</v>
      </c>
      <c r="I51" s="38">
        <v>44</v>
      </c>
      <c r="J51" s="38">
        <v>44</v>
      </c>
      <c r="K51" s="39">
        <v>44</v>
      </c>
      <c r="L51" s="28">
        <f t="shared" si="11"/>
        <v>520</v>
      </c>
      <c r="M51" s="109"/>
      <c r="N51" s="110"/>
      <c r="O51" s="109"/>
    </row>
    <row r="52" spans="1:15" ht="13.5">
      <c r="A52" s="35">
        <v>12</v>
      </c>
      <c r="B52" s="12" t="s">
        <v>36</v>
      </c>
      <c r="C52" s="16" t="s">
        <v>22</v>
      </c>
      <c r="D52" s="23">
        <f t="shared" si="13"/>
        <v>0</v>
      </c>
      <c r="E52" s="26"/>
      <c r="F52" s="26"/>
      <c r="G52" s="34"/>
      <c r="H52" s="25">
        <f t="shared" si="14"/>
        <v>37</v>
      </c>
      <c r="I52" s="26">
        <v>7</v>
      </c>
      <c r="J52" s="26">
        <v>18</v>
      </c>
      <c r="K52" s="27">
        <v>12</v>
      </c>
      <c r="L52" s="113">
        <f t="shared" si="11"/>
        <v>94</v>
      </c>
      <c r="M52" s="85"/>
      <c r="N52" s="1"/>
      <c r="O52" s="1"/>
    </row>
    <row r="53" spans="1:15" ht="13.5">
      <c r="A53" s="35">
        <v>13</v>
      </c>
      <c r="B53" s="12" t="s">
        <v>37</v>
      </c>
      <c r="C53" s="16" t="s">
        <v>22</v>
      </c>
      <c r="D53" s="23">
        <f t="shared" si="13"/>
        <v>0</v>
      </c>
      <c r="E53" s="38"/>
      <c r="F53" s="38"/>
      <c r="G53" s="54"/>
      <c r="H53" s="25">
        <f t="shared" si="14"/>
        <v>44</v>
      </c>
      <c r="I53" s="38">
        <v>13</v>
      </c>
      <c r="J53" s="38">
        <v>11</v>
      </c>
      <c r="K53" s="39">
        <v>20</v>
      </c>
      <c r="L53" s="28">
        <f t="shared" si="11"/>
        <v>62</v>
      </c>
      <c r="M53" s="85"/>
      <c r="N53" s="1"/>
      <c r="O53" s="1"/>
    </row>
    <row r="54" spans="1:15" ht="13.5">
      <c r="A54" s="35">
        <v>15</v>
      </c>
      <c r="B54" s="12" t="s">
        <v>29</v>
      </c>
      <c r="C54" s="16" t="s">
        <v>19</v>
      </c>
      <c r="D54" s="23">
        <f t="shared" si="13"/>
        <v>0</v>
      </c>
      <c r="E54" s="26">
        <v>0</v>
      </c>
      <c r="F54" s="26">
        <v>0</v>
      </c>
      <c r="G54" s="34">
        <v>0</v>
      </c>
      <c r="H54" s="25">
        <f t="shared" si="14"/>
        <v>2.5</v>
      </c>
      <c r="I54" s="26">
        <v>0.5</v>
      </c>
      <c r="J54" s="26">
        <v>1</v>
      </c>
      <c r="K54" s="27">
        <v>1</v>
      </c>
      <c r="L54" s="113">
        <f t="shared" si="11"/>
        <v>6</v>
      </c>
      <c r="M54" s="85"/>
      <c r="N54" s="1"/>
      <c r="O54" s="1"/>
    </row>
    <row r="55" spans="1:15" ht="13.5">
      <c r="A55" s="35">
        <v>16</v>
      </c>
      <c r="B55" s="12" t="s">
        <v>38</v>
      </c>
      <c r="C55" s="16" t="s">
        <v>19</v>
      </c>
      <c r="D55" s="23">
        <f t="shared" si="13"/>
        <v>35.586</v>
      </c>
      <c r="E55" s="26">
        <v>11.719</v>
      </c>
      <c r="F55" s="26">
        <v>13.367</v>
      </c>
      <c r="G55" s="34">
        <v>10.5</v>
      </c>
      <c r="H55" s="25">
        <f t="shared" si="14"/>
        <v>111.371</v>
      </c>
      <c r="I55" s="26">
        <v>26.827</v>
      </c>
      <c r="J55" s="26">
        <v>38.065</v>
      </c>
      <c r="K55" s="27">
        <v>46.479</v>
      </c>
      <c r="L55" s="113">
        <f t="shared" si="11"/>
        <v>345.838</v>
      </c>
      <c r="M55" s="85"/>
      <c r="N55" s="1"/>
      <c r="O55" s="1"/>
    </row>
    <row r="56" spans="1:15" ht="13.5">
      <c r="A56" s="35"/>
      <c r="B56" s="17"/>
      <c r="C56" s="18" t="s">
        <v>28</v>
      </c>
      <c r="D56" s="35">
        <f aca="true" t="shared" si="15" ref="D56:L56">ROUND(D55/(D39+D54)*100,2)</f>
        <v>26.93</v>
      </c>
      <c r="E56" s="38">
        <f t="shared" si="15"/>
        <v>26.61</v>
      </c>
      <c r="F56" s="38">
        <f t="shared" si="15"/>
        <v>30.35</v>
      </c>
      <c r="G56" s="54">
        <f t="shared" si="15"/>
        <v>23.84</v>
      </c>
      <c r="H56" s="37">
        <f t="shared" si="15"/>
        <v>16.09</v>
      </c>
      <c r="I56" s="38">
        <f t="shared" si="15"/>
        <v>17.27</v>
      </c>
      <c r="J56" s="38">
        <f t="shared" si="15"/>
        <v>16.25</v>
      </c>
      <c r="K56" s="39">
        <f t="shared" si="15"/>
        <v>15.35</v>
      </c>
      <c r="L56" s="28">
        <f t="shared" si="15"/>
        <v>17.34</v>
      </c>
      <c r="M56" s="85"/>
      <c r="N56" s="1"/>
      <c r="O56" s="1"/>
    </row>
    <row r="57" spans="1:15" ht="13.5">
      <c r="A57" s="35">
        <v>17</v>
      </c>
      <c r="B57" s="12" t="s">
        <v>90</v>
      </c>
      <c r="C57" s="16" t="s">
        <v>19</v>
      </c>
      <c r="D57" s="43">
        <f>E57+F57+G57</f>
        <v>96.53699999999999</v>
      </c>
      <c r="E57" s="44">
        <f>E39+E54-E55</f>
        <v>32.321999999999996</v>
      </c>
      <c r="F57" s="44">
        <f>F39+F54-F55</f>
        <v>30.673999999999996</v>
      </c>
      <c r="G57" s="57">
        <f>G39+G54-G55</f>
        <v>33.541</v>
      </c>
      <c r="H57" s="43">
        <f>I57+J57+K57</f>
        <v>580.964</v>
      </c>
      <c r="I57" s="44">
        <f>I39+I54-I55</f>
        <v>128.485875</v>
      </c>
      <c r="J57" s="44">
        <f>J39+J54-J55</f>
        <v>196.1543125</v>
      </c>
      <c r="K57" s="45">
        <f>K39+K54-K55</f>
        <v>256.32381250000003</v>
      </c>
      <c r="L57" s="46">
        <f>ROUND(D57+H57+D24+H24,3)</f>
        <v>1649.146</v>
      </c>
      <c r="M57" s="87"/>
      <c r="N57" s="1"/>
      <c r="O57" s="1"/>
    </row>
    <row r="58" spans="1:15" ht="13.5">
      <c r="A58" s="35"/>
      <c r="B58" s="12" t="s">
        <v>85</v>
      </c>
      <c r="C58" s="16" t="s">
        <v>19</v>
      </c>
      <c r="D58" s="23"/>
      <c r="E58" s="26"/>
      <c r="F58" s="26"/>
      <c r="G58" s="34"/>
      <c r="H58" s="25"/>
      <c r="I58" s="26"/>
      <c r="J58" s="26"/>
      <c r="K58" s="27"/>
      <c r="L58" s="28"/>
      <c r="M58" s="89"/>
      <c r="N58" s="1"/>
      <c r="O58" s="1"/>
    </row>
    <row r="59" spans="1:15" ht="13.5">
      <c r="A59" s="35"/>
      <c r="B59" s="17" t="s">
        <v>87</v>
      </c>
      <c r="C59" s="59" t="s">
        <v>19</v>
      </c>
      <c r="D59" s="68">
        <f>E59+F59+G59</f>
        <v>82.442598</v>
      </c>
      <c r="E59" s="69">
        <f>E57*85.4%</f>
        <v>27.602988</v>
      </c>
      <c r="F59" s="69">
        <f>F57*85.4%</f>
        <v>26.195596</v>
      </c>
      <c r="G59" s="70">
        <f>G57*85.4%</f>
        <v>28.644014000000002</v>
      </c>
      <c r="H59" s="71">
        <f>I59+J59+K59</f>
        <v>496.142720125</v>
      </c>
      <c r="I59" s="69">
        <f>I57*85.4%</f>
        <v>109.72693725</v>
      </c>
      <c r="J59" s="69">
        <f>J57*85.4%</f>
        <v>167.515782875</v>
      </c>
      <c r="K59" s="69">
        <v>218.9</v>
      </c>
      <c r="L59" s="72">
        <f>K59+J59+I59+G59+F59+E59+K26+J26+I26+G26+F26+E26</f>
        <v>1408.370235125</v>
      </c>
      <c r="M59" s="87"/>
      <c r="N59" s="1"/>
      <c r="O59" s="88"/>
    </row>
    <row r="60" spans="1:15" ht="13.5">
      <c r="A60" s="35"/>
      <c r="B60" s="17" t="s">
        <v>88</v>
      </c>
      <c r="C60" s="59" t="s">
        <v>19</v>
      </c>
      <c r="D60" s="68">
        <f>E60+F60+G60</f>
        <v>9.460626</v>
      </c>
      <c r="E60" s="69">
        <f>E57*9.8%</f>
        <v>3.167556</v>
      </c>
      <c r="F60" s="69">
        <f>F57*9.8%</f>
        <v>3.0060519999999995</v>
      </c>
      <c r="G60" s="70">
        <f>G57*9.8%</f>
        <v>3.2870179999999998</v>
      </c>
      <c r="H60" s="71">
        <f>I60+J60+K60</f>
        <v>56.933738375000004</v>
      </c>
      <c r="I60" s="69">
        <f>I57*9.8%</f>
        <v>12.591615749999999</v>
      </c>
      <c r="J60" s="69">
        <f>J57*9.8%</f>
        <v>19.223122625000002</v>
      </c>
      <c r="K60" s="69">
        <v>25.119</v>
      </c>
      <c r="L60" s="72">
        <f>K60+J60+I60+G60+F60+E60+K27+J27+I27+G27+F27+E27</f>
        <v>161.615525375</v>
      </c>
      <c r="M60" s="87"/>
      <c r="N60" s="1"/>
      <c r="O60" s="88"/>
    </row>
    <row r="61" spans="1:15" ht="14.25" thickBot="1">
      <c r="A61" s="47"/>
      <c r="B61" s="64" t="s">
        <v>89</v>
      </c>
      <c r="C61" s="73" t="s">
        <v>19</v>
      </c>
      <c r="D61" s="114">
        <f>E61+F61+G61</f>
        <v>4.633775999999989</v>
      </c>
      <c r="E61" s="105">
        <f>E57-E59-E60</f>
        <v>1.551455999999996</v>
      </c>
      <c r="F61" s="105">
        <f>F57-F59-F60</f>
        <v>1.472351999999998</v>
      </c>
      <c r="G61" s="105">
        <f>G57-G59-G60</f>
        <v>1.609967999999995</v>
      </c>
      <c r="H61" s="115">
        <f>I61+J61+K61</f>
        <v>27.8875415</v>
      </c>
      <c r="I61" s="105">
        <f>I57-I59-I60</f>
        <v>6.167321999999988</v>
      </c>
      <c r="J61" s="105">
        <f>J57-J59-J60</f>
        <v>9.415406999999988</v>
      </c>
      <c r="K61" s="105">
        <f>K57-K59-K60</f>
        <v>12.304812500000025</v>
      </c>
      <c r="L61" s="116">
        <f>K61+J61+I61+G61+F61+E61+K28+J28+I28+G28+F28+E28</f>
        <v>79.15973949999987</v>
      </c>
      <c r="M61" s="87"/>
      <c r="N61" s="1"/>
      <c r="O61" s="88"/>
    </row>
    <row r="62" spans="1:15" ht="13.5">
      <c r="A62" s="92"/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5"/>
      <c r="N62" s="117"/>
      <c r="O62" s="94"/>
    </row>
    <row r="63" spans="1:15" ht="41.25" customHeight="1">
      <c r="A63" s="117"/>
      <c r="B63" s="135" t="s">
        <v>94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136"/>
      <c r="O63" s="94"/>
    </row>
    <row r="64" spans="1:15" ht="13.5">
      <c r="A64" s="117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4"/>
    </row>
    <row r="65" spans="1:15" ht="13.5">
      <c r="A65" s="117"/>
      <c r="B65" s="117"/>
      <c r="C65" s="117"/>
      <c r="D65" s="96"/>
      <c r="E65" s="96"/>
      <c r="F65" s="96"/>
      <c r="G65" s="96"/>
      <c r="H65" s="96"/>
      <c r="I65" s="96"/>
      <c r="J65" s="96"/>
      <c r="K65" s="96"/>
      <c r="L65" s="96"/>
      <c r="M65" s="117"/>
      <c r="N65" s="117"/>
      <c r="O65" s="94"/>
    </row>
    <row r="66" spans="1:15" ht="13.5">
      <c r="A66" s="93"/>
      <c r="B66" s="93"/>
      <c r="C66" s="92"/>
      <c r="D66" s="92"/>
      <c r="E66" s="92"/>
      <c r="F66" s="92"/>
      <c r="G66" s="92"/>
      <c r="H66" s="92"/>
      <c r="I66" s="92"/>
      <c r="J66" s="92"/>
      <c r="K66" s="92"/>
      <c r="L66" s="117"/>
      <c r="M66" s="119"/>
      <c r="N66" s="117"/>
      <c r="O66" s="117"/>
    </row>
    <row r="67" spans="1:15" ht="13.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9"/>
      <c r="N67" s="117"/>
      <c r="O67" s="117"/>
    </row>
    <row r="68" spans="1:15" ht="15.75">
      <c r="A68" s="117"/>
      <c r="B68" s="92"/>
      <c r="C68" s="92"/>
      <c r="D68" s="92"/>
      <c r="E68" s="92"/>
      <c r="F68" s="92"/>
      <c r="G68" s="92"/>
      <c r="H68" s="120"/>
      <c r="I68" s="120"/>
      <c r="J68" s="120"/>
      <c r="K68" s="120"/>
      <c r="L68" s="121"/>
      <c r="M68" s="120"/>
      <c r="N68" s="122"/>
      <c r="O68" s="118"/>
    </row>
    <row r="69" spans="2:15" ht="13.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85"/>
      <c r="N69" s="85"/>
      <c r="O69" s="1"/>
    </row>
    <row r="70" spans="2:15" ht="14.25" thickBot="1">
      <c r="B70" s="6" t="s">
        <v>48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85"/>
      <c r="N70" s="85"/>
      <c r="O70" s="1"/>
    </row>
    <row r="71" spans="1:15" ht="13.5">
      <c r="A71" s="2" t="s">
        <v>35</v>
      </c>
      <c r="B71" s="7" t="s">
        <v>11</v>
      </c>
      <c r="C71" s="8" t="s">
        <v>1</v>
      </c>
      <c r="D71" s="9" t="s">
        <v>31</v>
      </c>
      <c r="E71" s="9" t="s">
        <v>32</v>
      </c>
      <c r="F71" s="9" t="s">
        <v>12</v>
      </c>
      <c r="G71" s="9" t="s">
        <v>46</v>
      </c>
      <c r="H71" s="125" t="s">
        <v>86</v>
      </c>
      <c r="I71" s="85"/>
      <c r="J71" s="85"/>
      <c r="K71" s="5"/>
      <c r="L71" s="5"/>
      <c r="M71" s="85"/>
      <c r="N71" s="85"/>
      <c r="O71" s="1"/>
    </row>
    <row r="72" spans="1:15" ht="13.5">
      <c r="A72" s="3">
        <v>1</v>
      </c>
      <c r="B72" s="10" t="s">
        <v>39</v>
      </c>
      <c r="C72" s="11" t="s">
        <v>19</v>
      </c>
      <c r="D72" s="12">
        <f aca="true" t="shared" si="16" ref="D72:D89">D4</f>
        <v>925.0635</v>
      </c>
      <c r="E72" s="12">
        <f aca="true" t="shared" si="17" ref="E72:E88">H4</f>
        <v>268.962</v>
      </c>
      <c r="F72" s="12">
        <f aca="true" t="shared" si="18" ref="F72:F88">D37</f>
        <v>135.123</v>
      </c>
      <c r="G72" s="12">
        <f aca="true" t="shared" si="19" ref="G72:G88">H37</f>
        <v>705.835</v>
      </c>
      <c r="H72" s="126">
        <f aca="true" t="shared" si="20" ref="H72:H88">L37</f>
        <v>2034.9835</v>
      </c>
      <c r="I72" s="85"/>
      <c r="J72" s="85"/>
      <c r="K72" s="5"/>
      <c r="L72" s="5"/>
      <c r="M72" s="85"/>
      <c r="N72" s="85"/>
      <c r="O72" s="1"/>
    </row>
    <row r="73" spans="1:15" ht="13.5">
      <c r="A73" s="3">
        <v>2</v>
      </c>
      <c r="B73" s="13" t="s">
        <v>40</v>
      </c>
      <c r="C73" s="11" t="s">
        <v>19</v>
      </c>
      <c r="D73" s="12">
        <f t="shared" si="16"/>
        <v>21</v>
      </c>
      <c r="E73" s="12">
        <f t="shared" si="17"/>
        <v>6</v>
      </c>
      <c r="F73" s="12">
        <f t="shared" si="18"/>
        <v>3</v>
      </c>
      <c r="G73" s="12">
        <f t="shared" si="19"/>
        <v>16</v>
      </c>
      <c r="H73" s="126">
        <f t="shared" si="20"/>
        <v>46</v>
      </c>
      <c r="I73" s="85"/>
      <c r="J73" s="85"/>
      <c r="K73" s="5"/>
      <c r="L73" s="5"/>
      <c r="M73" s="85"/>
      <c r="N73" s="85"/>
      <c r="O73" s="1"/>
    </row>
    <row r="74" spans="1:15" ht="13.5">
      <c r="A74" s="3">
        <v>3</v>
      </c>
      <c r="B74" s="12" t="s">
        <v>18</v>
      </c>
      <c r="C74" s="11" t="s">
        <v>19</v>
      </c>
      <c r="D74" s="12">
        <f t="shared" si="16"/>
        <v>904.0635</v>
      </c>
      <c r="E74" s="12">
        <f t="shared" si="17"/>
        <v>262.962</v>
      </c>
      <c r="F74" s="12">
        <f t="shared" si="18"/>
        <v>132.123</v>
      </c>
      <c r="G74" s="12">
        <f t="shared" si="19"/>
        <v>689.835</v>
      </c>
      <c r="H74" s="126">
        <f t="shared" si="20"/>
        <v>1988.9835</v>
      </c>
      <c r="I74" s="85"/>
      <c r="J74" s="85"/>
      <c r="K74" s="5"/>
      <c r="L74" s="5"/>
      <c r="M74" s="85"/>
      <c r="N74" s="85"/>
      <c r="O74" s="1"/>
    </row>
    <row r="75" spans="1:15" ht="13.5">
      <c r="A75" s="3">
        <v>4</v>
      </c>
      <c r="B75" s="14" t="s">
        <v>44</v>
      </c>
      <c r="C75" s="15" t="s">
        <v>0</v>
      </c>
      <c r="D75" s="12">
        <f t="shared" si="16"/>
        <v>154.1</v>
      </c>
      <c r="E75" s="12">
        <f t="shared" si="17"/>
        <v>153.9</v>
      </c>
      <c r="F75" s="12">
        <f t="shared" si="18"/>
        <v>150</v>
      </c>
      <c r="G75" s="12">
        <f t="shared" si="19"/>
        <v>155.1</v>
      </c>
      <c r="H75" s="126">
        <f t="shared" si="20"/>
        <v>154.1</v>
      </c>
      <c r="I75" s="85"/>
      <c r="J75" s="85"/>
      <c r="K75" s="5"/>
      <c r="L75" s="5"/>
      <c r="M75" s="85"/>
      <c r="N75" s="85"/>
      <c r="O75" s="1"/>
    </row>
    <row r="76" spans="1:15" ht="13.5">
      <c r="A76" s="3">
        <v>5</v>
      </c>
      <c r="B76" s="12" t="s">
        <v>20</v>
      </c>
      <c r="C76" s="16" t="s">
        <v>10</v>
      </c>
      <c r="D76" s="12">
        <f t="shared" si="16"/>
        <v>139316</v>
      </c>
      <c r="E76" s="12">
        <f t="shared" si="17"/>
        <v>40467</v>
      </c>
      <c r="F76" s="12">
        <f t="shared" si="18"/>
        <v>19818</v>
      </c>
      <c r="G76" s="12">
        <f t="shared" si="19"/>
        <v>107000</v>
      </c>
      <c r="H76" s="126">
        <f t="shared" si="20"/>
        <v>306601</v>
      </c>
      <c r="I76" s="85"/>
      <c r="J76" s="85"/>
      <c r="K76" s="5"/>
      <c r="L76" s="5"/>
      <c r="M76" s="85"/>
      <c r="N76" s="85"/>
      <c r="O76" s="1"/>
    </row>
    <row r="77" spans="1:15" ht="13.5">
      <c r="A77" s="3"/>
      <c r="B77" s="17" t="s">
        <v>21</v>
      </c>
      <c r="C77" s="16" t="s">
        <v>10</v>
      </c>
      <c r="D77" s="12">
        <f t="shared" si="16"/>
        <v>139316</v>
      </c>
      <c r="E77" s="12">
        <f t="shared" si="17"/>
        <v>40467</v>
      </c>
      <c r="F77" s="12">
        <f t="shared" si="18"/>
        <v>19818</v>
      </c>
      <c r="G77" s="12">
        <f t="shared" si="19"/>
        <v>107000</v>
      </c>
      <c r="H77" s="126">
        <f t="shared" si="20"/>
        <v>306601</v>
      </c>
      <c r="I77" s="85"/>
      <c r="J77" s="85"/>
      <c r="K77" s="5"/>
      <c r="L77" s="5"/>
      <c r="M77" s="85"/>
      <c r="N77" s="85"/>
      <c r="O77" s="1"/>
    </row>
    <row r="78" spans="1:15" ht="13.5">
      <c r="A78" s="3"/>
      <c r="B78" s="17"/>
      <c r="C78" s="16" t="s">
        <v>22</v>
      </c>
      <c r="D78" s="12">
        <f t="shared" si="16"/>
        <v>120619</v>
      </c>
      <c r="E78" s="12">
        <f t="shared" si="17"/>
        <v>35036</v>
      </c>
      <c r="F78" s="12">
        <f t="shared" si="18"/>
        <v>17160</v>
      </c>
      <c r="G78" s="12">
        <f t="shared" si="19"/>
        <v>92640</v>
      </c>
      <c r="H78" s="126">
        <f t="shared" si="20"/>
        <v>265455</v>
      </c>
      <c r="I78" s="85"/>
      <c r="J78" s="85"/>
      <c r="K78" s="5"/>
      <c r="L78" s="5"/>
      <c r="M78" s="85"/>
      <c r="N78" s="85"/>
      <c r="O78" s="1"/>
    </row>
    <row r="79" spans="1:15" ht="13.5">
      <c r="A79" s="3">
        <v>6</v>
      </c>
      <c r="B79" s="17" t="s">
        <v>41</v>
      </c>
      <c r="C79" s="16" t="s">
        <v>42</v>
      </c>
      <c r="D79" s="12">
        <f t="shared" si="16"/>
        <v>31.97</v>
      </c>
      <c r="E79" s="12">
        <f t="shared" si="17"/>
        <v>44.53</v>
      </c>
      <c r="F79" s="12">
        <f t="shared" si="18"/>
        <v>51.92</v>
      </c>
      <c r="G79" s="12">
        <f t="shared" si="19"/>
        <v>35.34</v>
      </c>
      <c r="H79" s="126">
        <f t="shared" si="20"/>
        <v>36.12</v>
      </c>
      <c r="I79" s="85"/>
      <c r="J79" s="85"/>
      <c r="K79" s="5"/>
      <c r="L79" s="5"/>
      <c r="M79" s="85"/>
      <c r="N79" s="85"/>
      <c r="O79" s="1"/>
    </row>
    <row r="80" spans="1:15" ht="13.5">
      <c r="A80" s="3">
        <v>7</v>
      </c>
      <c r="B80" s="12" t="s">
        <v>23</v>
      </c>
      <c r="C80" s="16" t="s">
        <v>24</v>
      </c>
      <c r="D80" s="12">
        <f t="shared" si="16"/>
        <v>28900</v>
      </c>
      <c r="E80" s="12">
        <f t="shared" si="17"/>
        <v>11710</v>
      </c>
      <c r="F80" s="12">
        <f t="shared" si="18"/>
        <v>6860</v>
      </c>
      <c r="G80" s="12">
        <f t="shared" si="19"/>
        <v>24376</v>
      </c>
      <c r="H80" s="126">
        <f t="shared" si="20"/>
        <v>71846</v>
      </c>
      <c r="I80" s="85"/>
      <c r="J80" s="85"/>
      <c r="K80" s="5"/>
      <c r="L80" s="5"/>
      <c r="M80" s="85"/>
      <c r="N80" s="85"/>
      <c r="O80" s="1"/>
    </row>
    <row r="81" spans="1:15" ht="13.5">
      <c r="A81" s="3">
        <v>8</v>
      </c>
      <c r="B81" s="12" t="s">
        <v>25</v>
      </c>
      <c r="C81" s="16" t="s">
        <v>33</v>
      </c>
      <c r="D81" s="12">
        <f t="shared" si="16"/>
        <v>23120</v>
      </c>
      <c r="E81" s="12">
        <f t="shared" si="17"/>
        <v>9368</v>
      </c>
      <c r="F81" s="12">
        <f t="shared" si="18"/>
        <v>5488</v>
      </c>
      <c r="G81" s="12">
        <f t="shared" si="19"/>
        <v>19501</v>
      </c>
      <c r="H81" s="126">
        <f t="shared" si="20"/>
        <v>57477</v>
      </c>
      <c r="I81" s="85"/>
      <c r="J81" s="85"/>
      <c r="K81" s="5"/>
      <c r="L81" s="5"/>
      <c r="M81" s="85"/>
      <c r="N81" s="85"/>
      <c r="O81" s="1"/>
    </row>
    <row r="82" spans="1:15" ht="13.5">
      <c r="A82" s="3">
        <v>9</v>
      </c>
      <c r="B82" s="17" t="s">
        <v>43</v>
      </c>
      <c r="C82" s="16" t="s">
        <v>45</v>
      </c>
      <c r="D82" s="12">
        <f t="shared" si="16"/>
        <v>2.009</v>
      </c>
      <c r="E82" s="12">
        <f t="shared" si="17"/>
        <v>4.141</v>
      </c>
      <c r="F82" s="12">
        <f t="shared" si="18"/>
        <v>4.39</v>
      </c>
      <c r="G82" s="12">
        <f t="shared" si="19"/>
        <v>2.263</v>
      </c>
      <c r="H82" s="126">
        <f t="shared" si="20"/>
        <v>2.537</v>
      </c>
      <c r="I82" s="85"/>
      <c r="J82" s="85"/>
      <c r="K82" s="5"/>
      <c r="L82" s="5"/>
      <c r="M82" s="85"/>
      <c r="N82" s="85"/>
      <c r="O82" s="1"/>
    </row>
    <row r="83" spans="1:15" ht="13.5">
      <c r="A83" s="3">
        <v>10</v>
      </c>
      <c r="B83" s="12" t="s">
        <v>27</v>
      </c>
      <c r="C83" s="16" t="s">
        <v>22</v>
      </c>
      <c r="D83" s="12">
        <f t="shared" si="16"/>
        <v>1816</v>
      </c>
      <c r="E83" s="12">
        <f t="shared" si="17"/>
        <v>1089</v>
      </c>
      <c r="F83" s="12">
        <f t="shared" si="18"/>
        <v>580</v>
      </c>
      <c r="G83" s="12">
        <f t="shared" si="19"/>
        <v>1561</v>
      </c>
      <c r="H83" s="126">
        <f t="shared" si="20"/>
        <v>5046</v>
      </c>
      <c r="I83" s="85"/>
      <c r="J83" s="85"/>
      <c r="K83" s="5"/>
      <c r="L83" s="5"/>
      <c r="M83" s="85"/>
      <c r="N83" s="85"/>
      <c r="O83" s="1"/>
    </row>
    <row r="84" spans="1:14" ht="13.5">
      <c r="A84" s="3">
        <v>11</v>
      </c>
      <c r="B84" s="12" t="s">
        <v>26</v>
      </c>
      <c r="C84" s="16" t="s">
        <v>22</v>
      </c>
      <c r="D84" s="12">
        <f t="shared" si="16"/>
        <v>196</v>
      </c>
      <c r="E84" s="12">
        <f t="shared" si="17"/>
        <v>148</v>
      </c>
      <c r="F84" s="12">
        <f t="shared" si="18"/>
        <v>153</v>
      </c>
      <c r="G84" s="12">
        <f t="shared" si="19"/>
        <v>185</v>
      </c>
      <c r="H84" s="126">
        <f t="shared" si="20"/>
        <v>682</v>
      </c>
      <c r="I84" s="85"/>
      <c r="J84" s="85"/>
      <c r="K84" s="5"/>
      <c r="L84" s="5"/>
      <c r="M84" s="5"/>
      <c r="N84" s="5"/>
    </row>
    <row r="85" spans="1:14" ht="13.5">
      <c r="A85" s="3"/>
      <c r="B85" s="17" t="s">
        <v>50</v>
      </c>
      <c r="C85" s="16" t="s">
        <v>22</v>
      </c>
      <c r="D85" s="12">
        <f t="shared" si="16"/>
        <v>48</v>
      </c>
      <c r="E85" s="12">
        <f t="shared" si="17"/>
        <v>46</v>
      </c>
      <c r="F85" s="12">
        <f t="shared" si="18"/>
        <v>15</v>
      </c>
      <c r="G85" s="12">
        <f t="shared" si="19"/>
        <v>53</v>
      </c>
      <c r="H85" s="126">
        <f t="shared" si="20"/>
        <v>162</v>
      </c>
      <c r="I85" s="85"/>
      <c r="J85" s="85"/>
      <c r="K85" s="5"/>
      <c r="L85" s="5"/>
      <c r="M85" s="5"/>
      <c r="N85" s="5"/>
    </row>
    <row r="86" spans="1:14" ht="13.5">
      <c r="A86" s="3"/>
      <c r="B86" s="17" t="s">
        <v>51</v>
      </c>
      <c r="C86" s="16" t="s">
        <v>22</v>
      </c>
      <c r="D86" s="12">
        <f t="shared" si="16"/>
        <v>148</v>
      </c>
      <c r="E86" s="12">
        <f t="shared" si="17"/>
        <v>102</v>
      </c>
      <c r="F86" s="12">
        <f t="shared" si="18"/>
        <v>138</v>
      </c>
      <c r="G86" s="12">
        <f t="shared" si="19"/>
        <v>132</v>
      </c>
      <c r="H86" s="126">
        <f t="shared" si="20"/>
        <v>520</v>
      </c>
      <c r="I86" s="85"/>
      <c r="J86" s="85"/>
      <c r="K86" s="5"/>
      <c r="L86" s="5"/>
      <c r="M86" s="5"/>
      <c r="N86" s="5"/>
    </row>
    <row r="87" spans="1:14" ht="13.5">
      <c r="A87" s="3">
        <v>12</v>
      </c>
      <c r="B87" s="12" t="s">
        <v>36</v>
      </c>
      <c r="C87" s="16" t="s">
        <v>22</v>
      </c>
      <c r="D87" s="12">
        <f t="shared" si="16"/>
        <v>52</v>
      </c>
      <c r="E87" s="12">
        <f t="shared" si="17"/>
        <v>5</v>
      </c>
      <c r="F87" s="12">
        <f t="shared" si="18"/>
        <v>0</v>
      </c>
      <c r="G87" s="12">
        <f t="shared" si="19"/>
        <v>37</v>
      </c>
      <c r="H87" s="126">
        <f t="shared" si="20"/>
        <v>94</v>
      </c>
      <c r="I87" s="85"/>
      <c r="J87" s="85"/>
      <c r="K87" s="5"/>
      <c r="L87" s="5"/>
      <c r="M87" s="5"/>
      <c r="N87" s="5"/>
    </row>
    <row r="88" spans="1:14" ht="13.5">
      <c r="A88" s="3">
        <v>13</v>
      </c>
      <c r="B88" s="12" t="s">
        <v>37</v>
      </c>
      <c r="C88" s="16" t="s">
        <v>22</v>
      </c>
      <c r="D88" s="12">
        <f t="shared" si="16"/>
        <v>16</v>
      </c>
      <c r="E88" s="12">
        <f t="shared" si="17"/>
        <v>2</v>
      </c>
      <c r="F88" s="12">
        <f t="shared" si="18"/>
        <v>0</v>
      </c>
      <c r="G88" s="12">
        <f t="shared" si="19"/>
        <v>44</v>
      </c>
      <c r="H88" s="126">
        <f t="shared" si="20"/>
        <v>62</v>
      </c>
      <c r="I88" s="85"/>
      <c r="J88" s="85"/>
      <c r="K88" s="5"/>
      <c r="L88" s="5"/>
      <c r="M88" s="5"/>
      <c r="N88" s="5"/>
    </row>
    <row r="89" spans="1:14" ht="13.5">
      <c r="A89" s="3"/>
      <c r="B89" s="12" t="str">
        <f>B21</f>
        <v>Покупная т/эн. (ОАО"СБ", ЮГОК)</v>
      </c>
      <c r="C89" s="16"/>
      <c r="D89" s="12">
        <f t="shared" si="16"/>
        <v>3</v>
      </c>
      <c r="E89" s="12">
        <f aca="true" t="shared" si="21" ref="E89:E96">H21</f>
        <v>0.5</v>
      </c>
      <c r="F89" s="12">
        <f aca="true" t="shared" si="22" ref="F89:F96">D54</f>
        <v>0</v>
      </c>
      <c r="G89" s="12">
        <f aca="true" t="shared" si="23" ref="G89:G96">H54</f>
        <v>2.5</v>
      </c>
      <c r="H89" s="126">
        <f aca="true" t="shared" si="24" ref="H89:H96">L54</f>
        <v>6</v>
      </c>
      <c r="I89" s="85"/>
      <c r="J89" s="85"/>
      <c r="K89" s="5"/>
      <c r="L89" s="5"/>
      <c r="M89" s="5"/>
      <c r="N89" s="5"/>
    </row>
    <row r="90" spans="1:14" ht="13.5">
      <c r="A90" s="3">
        <v>14</v>
      </c>
      <c r="B90" s="12" t="s">
        <v>38</v>
      </c>
      <c r="C90" s="16" t="s">
        <v>19</v>
      </c>
      <c r="D90" s="12">
        <f aca="true" t="shared" si="25" ref="D90:D96">D22</f>
        <v>137.632</v>
      </c>
      <c r="E90" s="12">
        <f t="shared" si="21"/>
        <v>61.249</v>
      </c>
      <c r="F90" s="12">
        <f t="shared" si="22"/>
        <v>35.586</v>
      </c>
      <c r="G90" s="12">
        <f t="shared" si="23"/>
        <v>111.371</v>
      </c>
      <c r="H90" s="126">
        <f t="shared" si="24"/>
        <v>345.838</v>
      </c>
      <c r="I90" s="85"/>
      <c r="J90" s="85"/>
      <c r="K90" s="5"/>
      <c r="L90" s="5"/>
      <c r="M90" s="5"/>
      <c r="N90" s="5"/>
    </row>
    <row r="91" spans="1:14" ht="13.5">
      <c r="A91" s="3"/>
      <c r="B91" s="17"/>
      <c r="C91" s="18" t="s">
        <v>28</v>
      </c>
      <c r="D91" s="12">
        <f t="shared" si="25"/>
        <v>15.17</v>
      </c>
      <c r="E91" s="12">
        <f t="shared" si="21"/>
        <v>23.25</v>
      </c>
      <c r="F91" s="12">
        <f t="shared" si="22"/>
        <v>26.93</v>
      </c>
      <c r="G91" s="12">
        <f t="shared" si="23"/>
        <v>16.09</v>
      </c>
      <c r="H91" s="126">
        <f t="shared" si="24"/>
        <v>17.34</v>
      </c>
      <c r="I91" s="85"/>
      <c r="J91" s="85"/>
      <c r="K91" s="5"/>
      <c r="L91" s="5"/>
      <c r="M91" s="5"/>
      <c r="N91" s="5"/>
    </row>
    <row r="92" spans="1:14" ht="13.5">
      <c r="A92" s="3">
        <v>15</v>
      </c>
      <c r="B92" s="12" t="s">
        <v>90</v>
      </c>
      <c r="C92" s="16" t="s">
        <v>19</v>
      </c>
      <c r="D92" s="12">
        <f t="shared" si="25"/>
        <v>769.4314999999999</v>
      </c>
      <c r="E92" s="12">
        <f t="shared" si="21"/>
        <v>202.21299999999997</v>
      </c>
      <c r="F92" s="12">
        <f t="shared" si="22"/>
        <v>96.53699999999999</v>
      </c>
      <c r="G92" s="12">
        <f t="shared" si="23"/>
        <v>580.964</v>
      </c>
      <c r="H92" s="126">
        <f t="shared" si="24"/>
        <v>1649.146</v>
      </c>
      <c r="I92" s="85"/>
      <c r="J92" s="85"/>
      <c r="K92" s="5"/>
      <c r="L92" s="5"/>
      <c r="M92" s="5"/>
      <c r="N92" s="5"/>
    </row>
    <row r="93" spans="1:15" ht="13.5">
      <c r="A93" s="3"/>
      <c r="B93" s="12" t="s">
        <v>85</v>
      </c>
      <c r="C93" s="16" t="s">
        <v>19</v>
      </c>
      <c r="D93" s="12">
        <f t="shared" si="25"/>
        <v>0</v>
      </c>
      <c r="E93" s="12">
        <f t="shared" si="21"/>
        <v>0</v>
      </c>
      <c r="F93" s="12">
        <f t="shared" si="22"/>
        <v>0</v>
      </c>
      <c r="G93" s="12">
        <f t="shared" si="23"/>
        <v>0</v>
      </c>
      <c r="H93" s="126">
        <f t="shared" si="24"/>
        <v>0</v>
      </c>
      <c r="I93" s="85"/>
      <c r="J93" s="85"/>
      <c r="K93" s="5"/>
      <c r="L93" s="5"/>
      <c r="M93" s="5"/>
      <c r="N93" s="5"/>
      <c r="O93" s="5"/>
    </row>
    <row r="94" spans="1:15" ht="13.5">
      <c r="A94" s="3"/>
      <c r="B94" s="17" t="s">
        <v>87</v>
      </c>
      <c r="C94" s="59" t="s">
        <v>19</v>
      </c>
      <c r="D94" s="128">
        <f t="shared" si="25"/>
        <v>657.094</v>
      </c>
      <c r="E94" s="128">
        <f t="shared" si="21"/>
        <v>172.690416</v>
      </c>
      <c r="F94" s="128">
        <f t="shared" si="22"/>
        <v>82.442598</v>
      </c>
      <c r="G94" s="128">
        <f t="shared" si="23"/>
        <v>496.142720125</v>
      </c>
      <c r="H94" s="129">
        <f t="shared" si="24"/>
        <v>1408.370235125</v>
      </c>
      <c r="I94" s="85"/>
      <c r="J94" s="85"/>
      <c r="K94" s="5"/>
      <c r="L94" s="5"/>
      <c r="M94" s="5"/>
      <c r="N94" s="5"/>
      <c r="O94" s="5"/>
    </row>
    <row r="95" spans="1:15" ht="13.5">
      <c r="A95" s="3"/>
      <c r="B95" s="17" t="s">
        <v>88</v>
      </c>
      <c r="C95" s="59" t="s">
        <v>19</v>
      </c>
      <c r="D95" s="128">
        <f t="shared" si="25"/>
        <v>75.405</v>
      </c>
      <c r="E95" s="128">
        <f t="shared" si="21"/>
        <v>19.816</v>
      </c>
      <c r="F95" s="128">
        <f t="shared" si="22"/>
        <v>9.460626</v>
      </c>
      <c r="G95" s="128">
        <f t="shared" si="23"/>
        <v>56.933738375000004</v>
      </c>
      <c r="H95" s="129">
        <f t="shared" si="24"/>
        <v>161.615525375</v>
      </c>
      <c r="I95" s="85"/>
      <c r="J95" s="85"/>
      <c r="K95" s="5"/>
      <c r="L95" s="5"/>
      <c r="M95" s="5"/>
      <c r="N95" s="5"/>
      <c r="O95" s="5"/>
    </row>
    <row r="96" spans="1:15" ht="14.25" thickBot="1">
      <c r="A96" s="127"/>
      <c r="B96" s="64" t="s">
        <v>89</v>
      </c>
      <c r="C96" s="73" t="s">
        <v>19</v>
      </c>
      <c r="D96" s="130">
        <f t="shared" si="25"/>
        <v>36.93271199999991</v>
      </c>
      <c r="E96" s="130">
        <f t="shared" si="21"/>
        <v>9.707</v>
      </c>
      <c r="F96" s="130">
        <f t="shared" si="22"/>
        <v>4.633775999999989</v>
      </c>
      <c r="G96" s="130">
        <f t="shared" si="23"/>
        <v>27.8875415</v>
      </c>
      <c r="H96" s="131">
        <f t="shared" si="24"/>
        <v>79.15973949999987</v>
      </c>
      <c r="I96" s="85"/>
      <c r="J96" s="85"/>
      <c r="K96" s="5"/>
      <c r="L96" s="5"/>
      <c r="M96" s="5"/>
      <c r="N96" s="5"/>
      <c r="O96" s="5"/>
    </row>
    <row r="97" spans="2:14" ht="28.5" customHeight="1">
      <c r="B97" s="134" t="s">
        <v>92</v>
      </c>
      <c r="C97" s="134"/>
      <c r="D97" s="134"/>
      <c r="E97" s="134" t="s">
        <v>93</v>
      </c>
      <c r="F97" s="5"/>
      <c r="G97" s="5"/>
      <c r="H97" s="5"/>
      <c r="I97" s="5"/>
      <c r="J97" s="5"/>
      <c r="K97" s="5"/>
      <c r="L97" s="5"/>
      <c r="M97" s="5"/>
      <c r="N97" s="5"/>
    </row>
    <row r="98" spans="1:4" ht="13.5">
      <c r="A98" s="5" t="s">
        <v>34</v>
      </c>
      <c r="B98" s="5"/>
      <c r="C98" s="5"/>
      <c r="D98" s="5"/>
    </row>
    <row r="99" ht="13.5">
      <c r="A99" s="5" t="s">
        <v>47</v>
      </c>
    </row>
    <row r="102" spans="2:5" ht="15.75">
      <c r="B102" s="134" t="s">
        <v>92</v>
      </c>
      <c r="C102" s="134"/>
      <c r="D102" s="134"/>
      <c r="E102" s="134" t="s">
        <v>93</v>
      </c>
    </row>
  </sheetData>
  <sheetProtection/>
  <mergeCells count="2">
    <mergeCell ref="A1:L1"/>
    <mergeCell ref="A35:L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  <rowBreaks count="2" manualBreakCount="2">
    <brk id="34" max="14" man="1"/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90" zoomScaleSheetLayoutView="90" zoomScalePageLayoutView="0" workbookViewId="0" topLeftCell="A1">
      <selection activeCell="T1" sqref="T1"/>
    </sheetView>
  </sheetViews>
  <sheetFormatPr defaultColWidth="9.00390625" defaultRowHeight="12.75"/>
  <cols>
    <col min="1" max="1" width="13.875" style="0" customWidth="1"/>
  </cols>
  <sheetData>
    <row r="1" spans="1:20" ht="56.25" customHeight="1">
      <c r="A1" s="281" t="s">
        <v>91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T1" s="137" t="s">
        <v>95</v>
      </c>
    </row>
    <row r="4" spans="1:19" ht="13.5">
      <c r="A4" s="36" t="s">
        <v>61</v>
      </c>
      <c r="B4" s="36" t="s">
        <v>62</v>
      </c>
      <c r="C4" s="36" t="s">
        <v>63</v>
      </c>
      <c r="D4" s="36" t="s">
        <v>64</v>
      </c>
      <c r="E4" s="36" t="s">
        <v>65</v>
      </c>
      <c r="F4" s="36" t="s">
        <v>66</v>
      </c>
      <c r="G4" s="36" t="s">
        <v>67</v>
      </c>
      <c r="H4" s="36" t="s">
        <v>68</v>
      </c>
      <c r="I4" s="36" t="s">
        <v>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36" t="s">
        <v>75</v>
      </c>
      <c r="P4" s="36" t="s">
        <v>76</v>
      </c>
      <c r="Q4" s="36" t="s">
        <v>77</v>
      </c>
      <c r="R4" s="36" t="s">
        <v>78</v>
      </c>
      <c r="S4" s="36" t="s">
        <v>56</v>
      </c>
    </row>
    <row r="5" spans="1:19" ht="39">
      <c r="A5" s="77" t="s">
        <v>79</v>
      </c>
      <c r="B5" s="36" t="s">
        <v>60</v>
      </c>
      <c r="C5" s="74">
        <v>769.4314999999999</v>
      </c>
      <c r="D5" s="74">
        <v>286.6629</v>
      </c>
      <c r="E5" s="74">
        <v>264.7426</v>
      </c>
      <c r="F5" s="74">
        <v>218.02599999999998</v>
      </c>
      <c r="G5" s="74">
        <v>202.21299999999997</v>
      </c>
      <c r="H5" s="74">
        <v>101.49199999999999</v>
      </c>
      <c r="I5" s="74">
        <v>59.70899999999999</v>
      </c>
      <c r="J5" s="74">
        <v>41.012</v>
      </c>
      <c r="K5" s="74">
        <v>96.53699999999999</v>
      </c>
      <c r="L5" s="74">
        <v>32.321999999999996</v>
      </c>
      <c r="M5" s="74">
        <v>30.673999999999996</v>
      </c>
      <c r="N5" s="74">
        <v>33.541</v>
      </c>
      <c r="O5" s="74">
        <v>580.964</v>
      </c>
      <c r="P5" s="74">
        <v>128.485875</v>
      </c>
      <c r="Q5" s="74">
        <v>196.1543125</v>
      </c>
      <c r="R5" s="74">
        <v>256.32381250000003</v>
      </c>
      <c r="S5" s="74">
        <v>1649.146</v>
      </c>
    </row>
    <row r="6" spans="1:19" ht="13.5">
      <c r="A6" s="78" t="s">
        <v>49</v>
      </c>
      <c r="B6" s="3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3.5">
      <c r="A7" s="79" t="s">
        <v>57</v>
      </c>
      <c r="B7" s="36" t="s">
        <v>60</v>
      </c>
      <c r="C7" s="74">
        <v>657.094</v>
      </c>
      <c r="D7" s="74">
        <v>244.81011660000001</v>
      </c>
      <c r="E7" s="74">
        <v>226.0901804</v>
      </c>
      <c r="F7" s="74">
        <v>186.194204</v>
      </c>
      <c r="G7" s="74">
        <v>172.690416</v>
      </c>
      <c r="H7" s="74">
        <v>86.674168</v>
      </c>
      <c r="I7" s="74">
        <v>50.992</v>
      </c>
      <c r="J7" s="74">
        <v>35.02424800000001</v>
      </c>
      <c r="K7" s="74">
        <v>82.442598</v>
      </c>
      <c r="L7" s="74">
        <v>27.602988</v>
      </c>
      <c r="M7" s="74">
        <v>26.195596</v>
      </c>
      <c r="N7" s="74">
        <v>28.644014000000002</v>
      </c>
      <c r="O7" s="74">
        <v>496.142720125</v>
      </c>
      <c r="P7" s="74">
        <v>109.72693725</v>
      </c>
      <c r="Q7" s="74">
        <v>167.515782875</v>
      </c>
      <c r="R7" s="74">
        <v>218.9</v>
      </c>
      <c r="S7" s="74">
        <v>1408.370235125</v>
      </c>
    </row>
    <row r="8" spans="1:19" ht="27">
      <c r="A8" s="79" t="s">
        <v>58</v>
      </c>
      <c r="B8" s="36" t="s">
        <v>60</v>
      </c>
      <c r="C8" s="74">
        <v>75.405</v>
      </c>
      <c r="D8" s="74">
        <v>28.092964199999997</v>
      </c>
      <c r="E8" s="74">
        <v>25.944774799999998</v>
      </c>
      <c r="F8" s="74">
        <v>21.366547999999998</v>
      </c>
      <c r="G8" s="74">
        <v>19.816</v>
      </c>
      <c r="H8" s="74">
        <v>9.946216</v>
      </c>
      <c r="I8" s="74">
        <v>5.851481999999999</v>
      </c>
      <c r="J8" s="74">
        <v>4.019176</v>
      </c>
      <c r="K8" s="74">
        <v>9.460626</v>
      </c>
      <c r="L8" s="74">
        <v>3.167556</v>
      </c>
      <c r="M8" s="74">
        <v>3.0060519999999995</v>
      </c>
      <c r="N8" s="74">
        <v>3.2870179999999998</v>
      </c>
      <c r="O8" s="74">
        <v>56.933738375000004</v>
      </c>
      <c r="P8" s="74">
        <v>12.591615749999999</v>
      </c>
      <c r="Q8" s="74">
        <v>19.223122625000002</v>
      </c>
      <c r="R8" s="74">
        <v>25.119</v>
      </c>
      <c r="S8" s="74">
        <v>161.615525375</v>
      </c>
    </row>
    <row r="9" spans="1:19" ht="27">
      <c r="A9" s="79" t="s">
        <v>59</v>
      </c>
      <c r="B9" s="36" t="s">
        <v>60</v>
      </c>
      <c r="C9" s="74">
        <v>36.93271199999991</v>
      </c>
      <c r="D9" s="74">
        <v>13.759819199999967</v>
      </c>
      <c r="E9" s="74">
        <v>12.707644799999976</v>
      </c>
      <c r="F9" s="74">
        <v>10.46524799999997</v>
      </c>
      <c r="G9" s="74">
        <v>9.707</v>
      </c>
      <c r="H9" s="74">
        <v>4.871615999999996</v>
      </c>
      <c r="I9" s="74">
        <v>2.8655179999999927</v>
      </c>
      <c r="J9" s="74">
        <v>1.9685759999999934</v>
      </c>
      <c r="K9" s="74">
        <v>4.633775999999989</v>
      </c>
      <c r="L9" s="74">
        <v>1.551455999999996</v>
      </c>
      <c r="M9" s="74">
        <v>1.472351999999998</v>
      </c>
      <c r="N9" s="74">
        <v>1.609967999999995</v>
      </c>
      <c r="O9" s="74">
        <v>27.8875415</v>
      </c>
      <c r="P9" s="74">
        <v>6.167321999999988</v>
      </c>
      <c r="Q9" s="74">
        <v>9.415406999999988</v>
      </c>
      <c r="R9" s="74">
        <v>12.304812500000025</v>
      </c>
      <c r="S9" s="74">
        <v>79.15973949999987</v>
      </c>
    </row>
    <row r="10" spans="1:19" ht="30.75" customHeight="1">
      <c r="A10" s="76" t="s">
        <v>84</v>
      </c>
      <c r="B10" s="81" t="s">
        <v>83</v>
      </c>
      <c r="C10" s="36">
        <v>8.05</v>
      </c>
      <c r="D10" s="36">
        <v>8.05</v>
      </c>
      <c r="E10" s="36">
        <v>8.05</v>
      </c>
      <c r="F10" s="36">
        <v>8.05</v>
      </c>
      <c r="G10" s="36">
        <v>8.05</v>
      </c>
      <c r="H10" s="36">
        <v>8.05</v>
      </c>
      <c r="I10" s="36">
        <v>8.05</v>
      </c>
      <c r="J10" s="36">
        <v>8.05</v>
      </c>
      <c r="K10" s="133">
        <v>8.05</v>
      </c>
      <c r="L10" s="133">
        <v>8.05</v>
      </c>
      <c r="M10" s="133">
        <v>8.05</v>
      </c>
      <c r="N10" s="133">
        <v>8.05</v>
      </c>
      <c r="O10" s="133">
        <v>8.05</v>
      </c>
      <c r="P10" s="133">
        <v>8.05</v>
      </c>
      <c r="Q10" s="133">
        <v>8.05</v>
      </c>
      <c r="R10" s="133">
        <v>8.05</v>
      </c>
      <c r="S10" s="36"/>
    </row>
    <row r="11" spans="1:19" ht="21" customHeight="1">
      <c r="A11" s="76"/>
      <c r="B11" s="81" t="s">
        <v>83</v>
      </c>
      <c r="C11" s="36"/>
      <c r="D11" s="36"/>
      <c r="E11" s="36"/>
      <c r="F11" s="36"/>
      <c r="G11" s="36"/>
      <c r="H11" s="36"/>
      <c r="I11" s="36"/>
      <c r="J11" s="36"/>
      <c r="K11" s="133">
        <v>11.3</v>
      </c>
      <c r="L11" s="133">
        <v>11.3</v>
      </c>
      <c r="M11" s="133">
        <v>11.3</v>
      </c>
      <c r="N11" s="133">
        <v>11.3</v>
      </c>
      <c r="O11" s="133">
        <v>11.3</v>
      </c>
      <c r="P11" s="133">
        <v>11.3</v>
      </c>
      <c r="Q11" s="133">
        <v>11.3</v>
      </c>
      <c r="R11" s="133">
        <v>11.3</v>
      </c>
      <c r="S11" s="36"/>
    </row>
    <row r="12" spans="1:20" ht="39">
      <c r="A12" s="80" t="s">
        <v>54</v>
      </c>
      <c r="B12" s="82" t="s">
        <v>53</v>
      </c>
      <c r="C12" s="83">
        <f aca="true" t="shared" si="0" ref="C12:J12">C10*C5</f>
        <v>6193.923575</v>
      </c>
      <c r="D12" s="83">
        <f t="shared" si="0"/>
        <v>2307.636345</v>
      </c>
      <c r="E12" s="83">
        <f t="shared" si="0"/>
        <v>2131.17793</v>
      </c>
      <c r="F12" s="83">
        <f t="shared" si="0"/>
        <v>1755.1093</v>
      </c>
      <c r="G12" s="83">
        <f t="shared" si="0"/>
        <v>1627.8146499999998</v>
      </c>
      <c r="H12" s="83">
        <f t="shared" si="0"/>
        <v>817.0106</v>
      </c>
      <c r="I12" s="83">
        <f t="shared" si="0"/>
        <v>480.6574499999999</v>
      </c>
      <c r="J12" s="83">
        <f t="shared" si="0"/>
        <v>330.14660000000003</v>
      </c>
      <c r="K12" s="83">
        <f>K10*K5+K11*K7</f>
        <v>1708.7242074</v>
      </c>
      <c r="L12" s="83">
        <f aca="true" t="shared" si="1" ref="L12:R12">L10*L5+L11*L7</f>
        <v>572.1058644</v>
      </c>
      <c r="M12" s="83">
        <f t="shared" si="1"/>
        <v>542.9359347999999</v>
      </c>
      <c r="N12" s="83">
        <f t="shared" si="1"/>
        <v>593.6824082</v>
      </c>
      <c r="O12" s="83">
        <f t="shared" si="1"/>
        <v>10283.1729374125</v>
      </c>
      <c r="P12" s="83">
        <f t="shared" si="1"/>
        <v>2274.225684675</v>
      </c>
      <c r="Q12" s="83">
        <f t="shared" si="1"/>
        <v>3471.9705621125004</v>
      </c>
      <c r="R12" s="83">
        <f t="shared" si="1"/>
        <v>4536.976690625001</v>
      </c>
      <c r="S12" s="83">
        <f>C12+G12+K12+O12</f>
        <v>19813.635369812502</v>
      </c>
      <c r="T12" s="84">
        <f>D12+E12+F12+H12+I12+J12+L12+M12+N12+P12+Q12+R12</f>
        <v>19813.635369812502</v>
      </c>
    </row>
    <row r="13" spans="1:19" ht="13.5">
      <c r="A13" s="78" t="s">
        <v>49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3.5">
      <c r="A14" s="79" t="s">
        <v>80</v>
      </c>
      <c r="B14" s="36"/>
      <c r="C14" s="74">
        <f aca="true" t="shared" si="2" ref="C14:S14">C7/C5*C12</f>
        <v>5289.606700000001</v>
      </c>
      <c r="D14" s="74">
        <f t="shared" si="2"/>
        <v>1970.7214386300002</v>
      </c>
      <c r="E14" s="74">
        <f t="shared" si="2"/>
        <v>1820.0259522200001</v>
      </c>
      <c r="F14" s="74">
        <f t="shared" si="2"/>
        <v>1498.8633422000003</v>
      </c>
      <c r="G14" s="74">
        <f t="shared" si="2"/>
        <v>1390.1578488000002</v>
      </c>
      <c r="H14" s="74">
        <f t="shared" si="2"/>
        <v>697.7270523999999</v>
      </c>
      <c r="I14" s="74">
        <f t="shared" si="2"/>
        <v>410.4856</v>
      </c>
      <c r="J14" s="74">
        <f t="shared" si="2"/>
        <v>281.9451964000001</v>
      </c>
      <c r="K14" s="74">
        <f t="shared" si="2"/>
        <v>1459.2504731196002</v>
      </c>
      <c r="L14" s="74">
        <f t="shared" si="2"/>
        <v>488.5784081976</v>
      </c>
      <c r="M14" s="74">
        <f t="shared" si="2"/>
        <v>463.6672883192</v>
      </c>
      <c r="N14" s="74">
        <f t="shared" si="2"/>
        <v>507.0047766028001</v>
      </c>
      <c r="O14" s="74">
        <f t="shared" si="2"/>
        <v>8781.820203461184</v>
      </c>
      <c r="P14" s="74">
        <f t="shared" si="2"/>
        <v>1942.1887347124502</v>
      </c>
      <c r="Q14" s="74">
        <f t="shared" si="2"/>
        <v>2965.0628600440755</v>
      </c>
      <c r="R14" s="74">
        <f t="shared" si="2"/>
        <v>3874.5686087117347</v>
      </c>
      <c r="S14" s="74">
        <f t="shared" si="2"/>
        <v>16920.839212819148</v>
      </c>
    </row>
    <row r="15" spans="1:19" ht="27">
      <c r="A15" s="79" t="s">
        <v>81</v>
      </c>
      <c r="B15" s="36"/>
      <c r="C15" s="74">
        <f aca="true" t="shared" si="3" ref="C15:S15">C8/C5*C12</f>
        <v>607.01025</v>
      </c>
      <c r="D15" s="74">
        <f t="shared" si="3"/>
        <v>226.14836181</v>
      </c>
      <c r="E15" s="74">
        <f t="shared" si="3"/>
        <v>208.85543714</v>
      </c>
      <c r="F15" s="74">
        <f t="shared" si="3"/>
        <v>172.0007114</v>
      </c>
      <c r="G15" s="74">
        <f t="shared" si="3"/>
        <v>159.5188</v>
      </c>
      <c r="H15" s="74">
        <f t="shared" si="3"/>
        <v>80.06703879999999</v>
      </c>
      <c r="I15" s="74">
        <f t="shared" si="3"/>
        <v>47.104430099999995</v>
      </c>
      <c r="J15" s="74">
        <f t="shared" si="3"/>
        <v>32.3543668</v>
      </c>
      <c r="K15" s="74">
        <f t="shared" si="3"/>
        <v>167.4549723252</v>
      </c>
      <c r="L15" s="74">
        <f t="shared" si="3"/>
        <v>56.0663747112</v>
      </c>
      <c r="M15" s="74">
        <f t="shared" si="3"/>
        <v>53.207721610399986</v>
      </c>
      <c r="N15" s="74">
        <f t="shared" si="3"/>
        <v>58.180876003600005</v>
      </c>
      <c r="O15" s="74">
        <f t="shared" si="3"/>
        <v>1007.7379625648466</v>
      </c>
      <c r="P15" s="74">
        <f t="shared" si="3"/>
        <v>222.87411709815</v>
      </c>
      <c r="Q15" s="74">
        <f t="shared" si="3"/>
        <v>340.25311508702504</v>
      </c>
      <c r="R15" s="74">
        <f t="shared" si="3"/>
        <v>444.61073038935615</v>
      </c>
      <c r="S15" s="74">
        <f t="shared" si="3"/>
        <v>1941.7268634074426</v>
      </c>
    </row>
    <row r="16" spans="1:19" ht="13.5">
      <c r="A16" s="79" t="s">
        <v>82</v>
      </c>
      <c r="B16" s="75"/>
      <c r="C16" s="74">
        <f>C12-C14-C15</f>
        <v>297.3066249999986</v>
      </c>
      <c r="D16" s="74">
        <f aca="true" t="shared" si="4" ref="D16:S16">D12-D14-D15</f>
        <v>110.76654455999969</v>
      </c>
      <c r="E16" s="74">
        <f t="shared" si="4"/>
        <v>102.2965406399997</v>
      </c>
      <c r="F16" s="74">
        <f t="shared" si="4"/>
        <v>84.24524639999981</v>
      </c>
      <c r="G16" s="74">
        <f t="shared" si="4"/>
        <v>78.13800119999956</v>
      </c>
      <c r="H16" s="74">
        <f t="shared" si="4"/>
        <v>39.21650880000003</v>
      </c>
      <c r="I16" s="74">
        <f t="shared" si="4"/>
        <v>23.067419899999955</v>
      </c>
      <c r="J16" s="74">
        <f t="shared" si="4"/>
        <v>15.847036799999934</v>
      </c>
      <c r="K16" s="74">
        <f t="shared" si="4"/>
        <v>82.01876195519986</v>
      </c>
      <c r="L16" s="74">
        <f t="shared" si="4"/>
        <v>27.46108149119995</v>
      </c>
      <c r="M16" s="74">
        <f t="shared" si="4"/>
        <v>26.060924870399944</v>
      </c>
      <c r="N16" s="74">
        <f t="shared" si="4"/>
        <v>28.49675559359993</v>
      </c>
      <c r="O16" s="74">
        <f t="shared" si="4"/>
        <v>493.61477138647</v>
      </c>
      <c r="P16" s="74">
        <f t="shared" si="4"/>
        <v>109.16283286439989</v>
      </c>
      <c r="Q16" s="74">
        <f t="shared" si="4"/>
        <v>166.65458698139986</v>
      </c>
      <c r="R16" s="74">
        <f t="shared" si="4"/>
        <v>217.7973515239098</v>
      </c>
      <c r="S16" s="74">
        <f t="shared" si="4"/>
        <v>951.0692935859115</v>
      </c>
    </row>
    <row r="22" spans="1:19" ht="13.5">
      <c r="A22" s="111"/>
      <c r="B22" s="1"/>
      <c r="C22" s="91"/>
      <c r="D22" s="90"/>
      <c r="E22" s="90"/>
      <c r="F22" s="90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32"/>
    </row>
    <row r="23" spans="1:19" ht="13.5">
      <c r="A23" s="1"/>
      <c r="B23" s="1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1"/>
    </row>
    <row r="24" spans="1:19" ht="13.5">
      <c r="A24" s="1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32"/>
    </row>
    <row r="25" spans="1:1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>
      <c r="A29" s="1"/>
      <c r="B29" s="1"/>
      <c r="C29" s="1"/>
      <c r="D29" s="1"/>
      <c r="E29" s="1"/>
      <c r="F29" s="1"/>
      <c r="G29" s="1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view="pageBreakPreview" zoomScale="60" zoomScaleNormal="80" zoomScalePageLayoutView="0" workbookViewId="0" topLeftCell="A1">
      <pane xSplit="21" ySplit="7" topLeftCell="V16" activePane="bottomRight" state="frozen"/>
      <selection pane="topLeft" activeCell="A1" sqref="A1"/>
      <selection pane="topRight" activeCell="V1" sqref="V1"/>
      <selection pane="bottomLeft" activeCell="A8" sqref="A8"/>
      <selection pane="bottomRight" activeCell="AD34" sqref="AD33:AD34"/>
    </sheetView>
  </sheetViews>
  <sheetFormatPr defaultColWidth="9.00390625" defaultRowHeight="12.75"/>
  <cols>
    <col min="1" max="1" width="5.375" style="0" customWidth="1"/>
    <col min="2" max="2" width="35.25390625" style="0" customWidth="1"/>
    <col min="4" max="21" width="9.00390625" style="0" hidden="1" customWidth="1"/>
    <col min="38" max="38" width="9.875" style="0" customWidth="1"/>
    <col min="40" max="40" width="12.50390625" style="0" customWidth="1"/>
  </cols>
  <sheetData>
    <row r="1" spans="1:22" ht="18.75">
      <c r="A1" s="138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V1" s="266" t="s">
        <v>143</v>
      </c>
    </row>
    <row r="2" spans="1:22" ht="18.75">
      <c r="A2" s="138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V2" s="266"/>
    </row>
    <row r="3" spans="1:22" ht="18.75">
      <c r="A3" s="138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V3" s="266"/>
    </row>
    <row r="4" spans="1:38" ht="13.5" customHeight="1" hidden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291" t="s">
        <v>106</v>
      </c>
      <c r="N4" s="291"/>
      <c r="O4" s="291"/>
      <c r="P4" s="291"/>
      <c r="Q4" s="138"/>
      <c r="R4" s="138"/>
      <c r="S4" s="138"/>
      <c r="T4" s="138"/>
      <c r="W4">
        <v>16.919</v>
      </c>
      <c r="X4">
        <v>14.769</v>
      </c>
      <c r="Y4">
        <v>12.732</v>
      </c>
      <c r="AA4">
        <v>2.11</v>
      </c>
      <c r="AB4">
        <v>0.099</v>
      </c>
      <c r="AC4">
        <v>0.096</v>
      </c>
      <c r="AE4">
        <v>0.051</v>
      </c>
      <c r="AF4">
        <v>0.099</v>
      </c>
      <c r="AG4">
        <v>0.096</v>
      </c>
      <c r="AI4">
        <v>4.343</v>
      </c>
      <c r="AJ4">
        <v>11.634</v>
      </c>
      <c r="AK4">
        <v>15.358</v>
      </c>
      <c r="AL4">
        <v>78.306</v>
      </c>
    </row>
    <row r="5" spans="1:42" ht="19.5" customHeight="1" hidden="1" thickBot="1">
      <c r="A5" s="144"/>
      <c r="B5" s="144"/>
      <c r="C5" s="144"/>
      <c r="D5" s="145"/>
      <c r="E5" s="144"/>
      <c r="F5" s="144"/>
      <c r="G5" s="144"/>
      <c r="H5" s="250"/>
      <c r="I5" s="203"/>
      <c r="J5" s="144"/>
      <c r="K5" s="144"/>
      <c r="L5" s="144"/>
      <c r="M5" s="144"/>
      <c r="N5" s="144"/>
      <c r="O5" s="144"/>
      <c r="P5" s="144"/>
      <c r="Q5" s="144"/>
      <c r="R5" s="144"/>
      <c r="S5" s="292" t="s">
        <v>109</v>
      </c>
      <c r="T5" s="292"/>
      <c r="V5" s="145"/>
      <c r="W5" s="144">
        <v>16.534</v>
      </c>
      <c r="X5" s="144">
        <v>14.431</v>
      </c>
      <c r="Y5" s="144">
        <v>12.432</v>
      </c>
      <c r="Z5" s="250"/>
      <c r="AA5" s="203">
        <v>2.015</v>
      </c>
      <c r="AB5" s="144">
        <v>0.036</v>
      </c>
      <c r="AC5" s="203">
        <v>0.035</v>
      </c>
      <c r="AD5" s="203"/>
      <c r="AE5" s="203">
        <v>0.019</v>
      </c>
      <c r="AF5" s="203">
        <v>0.036</v>
      </c>
      <c r="AG5" s="203">
        <v>0.035</v>
      </c>
      <c r="AH5" s="144"/>
      <c r="AI5" s="203">
        <v>4.206</v>
      </c>
      <c r="AJ5" s="203">
        <v>11.358</v>
      </c>
      <c r="AK5" s="269">
        <v>15.004</v>
      </c>
      <c r="AL5" s="269">
        <v>76.142</v>
      </c>
      <c r="AM5" s="269"/>
      <c r="AN5" s="5">
        <v>76.142</v>
      </c>
      <c r="AO5" s="5"/>
      <c r="AP5" s="5"/>
    </row>
    <row r="6" spans="1:42" ht="19.5" customHeight="1" thickBot="1">
      <c r="A6" s="144"/>
      <c r="B6" s="144"/>
      <c r="C6" s="144"/>
      <c r="D6" s="145"/>
      <c r="E6" s="144"/>
      <c r="F6" s="144"/>
      <c r="G6" s="144"/>
      <c r="H6" s="250"/>
      <c r="I6" s="203"/>
      <c r="J6" s="144"/>
      <c r="K6" s="144"/>
      <c r="L6" s="144"/>
      <c r="M6" s="144"/>
      <c r="N6" s="144"/>
      <c r="O6" s="144"/>
      <c r="P6" s="144"/>
      <c r="Q6" s="144"/>
      <c r="R6" s="144"/>
      <c r="S6" s="268"/>
      <c r="T6" s="252"/>
      <c r="V6" s="145"/>
      <c r="W6" s="144"/>
      <c r="X6" s="144"/>
      <c r="Y6" s="144"/>
      <c r="Z6" s="250"/>
      <c r="AA6" s="203"/>
      <c r="AB6" s="144"/>
      <c r="AC6" s="203"/>
      <c r="AD6" s="203"/>
      <c r="AE6" s="203"/>
      <c r="AF6" s="203"/>
      <c r="AG6" s="203"/>
      <c r="AH6" s="144"/>
      <c r="AI6" s="203"/>
      <c r="AJ6" s="203"/>
      <c r="AK6" s="289" t="s">
        <v>109</v>
      </c>
      <c r="AL6" s="289"/>
      <c r="AM6" s="270"/>
      <c r="AN6" s="5"/>
      <c r="AO6" s="5"/>
      <c r="AP6" s="5"/>
    </row>
    <row r="7" spans="1:44" ht="26.25" thickBot="1">
      <c r="A7" s="158" t="s">
        <v>107</v>
      </c>
      <c r="B7" s="159" t="s">
        <v>108</v>
      </c>
      <c r="C7" s="160" t="s">
        <v>104</v>
      </c>
      <c r="D7" s="161" t="s">
        <v>97</v>
      </c>
      <c r="E7" s="159" t="s">
        <v>64</v>
      </c>
      <c r="F7" s="159" t="s">
        <v>65</v>
      </c>
      <c r="G7" s="162" t="s">
        <v>66</v>
      </c>
      <c r="H7" s="161" t="s">
        <v>98</v>
      </c>
      <c r="I7" s="159" t="s">
        <v>68</v>
      </c>
      <c r="J7" s="159" t="s">
        <v>69</v>
      </c>
      <c r="K7" s="174" t="s">
        <v>70</v>
      </c>
      <c r="L7" s="190" t="s">
        <v>99</v>
      </c>
      <c r="M7" s="191" t="s">
        <v>72</v>
      </c>
      <c r="N7" s="191" t="s">
        <v>105</v>
      </c>
      <c r="O7" s="185" t="s">
        <v>74</v>
      </c>
      <c r="P7" s="176" t="s">
        <v>100</v>
      </c>
      <c r="Q7" s="159" t="s">
        <v>76</v>
      </c>
      <c r="R7" s="159" t="s">
        <v>77</v>
      </c>
      <c r="S7" s="162" t="s">
        <v>78</v>
      </c>
      <c r="T7" s="187" t="s">
        <v>56</v>
      </c>
      <c r="V7" s="161" t="s">
        <v>97</v>
      </c>
      <c r="W7" s="159" t="s">
        <v>64</v>
      </c>
      <c r="X7" s="159" t="s">
        <v>65</v>
      </c>
      <c r="Y7" s="162" t="s">
        <v>66</v>
      </c>
      <c r="Z7" s="161" t="s">
        <v>98</v>
      </c>
      <c r="AA7" s="159" t="s">
        <v>68</v>
      </c>
      <c r="AB7" s="159" t="s">
        <v>69</v>
      </c>
      <c r="AC7" s="174" t="s">
        <v>70</v>
      </c>
      <c r="AD7" s="190" t="s">
        <v>99</v>
      </c>
      <c r="AE7" s="191" t="s">
        <v>72</v>
      </c>
      <c r="AF7" s="191" t="s">
        <v>105</v>
      </c>
      <c r="AG7" s="185" t="s">
        <v>74</v>
      </c>
      <c r="AH7" s="176" t="s">
        <v>100</v>
      </c>
      <c r="AI7" s="159" t="s">
        <v>76</v>
      </c>
      <c r="AJ7" s="159" t="s">
        <v>77</v>
      </c>
      <c r="AK7" s="162" t="s">
        <v>78</v>
      </c>
      <c r="AL7" s="187" t="s">
        <v>56</v>
      </c>
      <c r="AN7" s="202">
        <v>76145.298</v>
      </c>
      <c r="AO7" s="267" t="s">
        <v>137</v>
      </c>
      <c r="AP7" s="202" t="s">
        <v>138</v>
      </c>
      <c r="AQ7" s="264"/>
      <c r="AR7" s="264"/>
    </row>
    <row r="8" spans="1:42" ht="42.75" customHeight="1">
      <c r="A8" s="147">
        <v>1</v>
      </c>
      <c r="B8" s="165" t="s">
        <v>120</v>
      </c>
      <c r="C8" s="155" t="s">
        <v>60</v>
      </c>
      <c r="D8" s="204">
        <f>D9+D10+D11</f>
        <v>42.406000000000006</v>
      </c>
      <c r="E8" s="207">
        <f>ROUND(E9+E10+E11,3)</f>
        <v>17.619</v>
      </c>
      <c r="F8" s="207">
        <f>ROUND(F9+F10+F11,3)</f>
        <v>13.635</v>
      </c>
      <c r="G8" s="207">
        <f>ROUND(G9+G10+G11,3)</f>
        <v>11.152</v>
      </c>
      <c r="H8" s="204">
        <f>H9+H10+H11</f>
        <v>2.2849999999999997</v>
      </c>
      <c r="I8" s="207">
        <f>ROUND(I9+I10+I11,3)</f>
        <v>2.154</v>
      </c>
      <c r="J8" s="207">
        <f>ROUND(J9+J10+J11,3)</f>
        <v>0.066</v>
      </c>
      <c r="K8" s="207">
        <f>ROUND(K9+K10+K11,3)</f>
        <v>0.066</v>
      </c>
      <c r="L8" s="208">
        <f>L9+L10+L11</f>
        <v>0.204</v>
      </c>
      <c r="M8" s="207">
        <f>ROUND(M9+M10+M11,3)</f>
        <v>0.069</v>
      </c>
      <c r="N8" s="207">
        <f>ROUND(N9+N10+N11,3)</f>
        <v>0.069</v>
      </c>
      <c r="O8" s="207">
        <f>ROUND(O9+O10+O11,3)</f>
        <v>0.067</v>
      </c>
      <c r="P8" s="209">
        <f>P9+P10+P11</f>
        <v>36.427</v>
      </c>
      <c r="Q8" s="207">
        <f>ROUND(Q9+Q10+Q11,3)</f>
        <v>8.422</v>
      </c>
      <c r="R8" s="207">
        <f>ROUND(R9+R10+R11,3)</f>
        <v>12.178</v>
      </c>
      <c r="S8" s="207">
        <f>ROUND(S9+S10+S11,3)</f>
        <v>15.827</v>
      </c>
      <c r="T8" s="210">
        <f>T9+T10+T11</f>
        <v>81.3228</v>
      </c>
      <c r="V8" s="204">
        <f>V9+V10+V11</f>
        <v>43.09</v>
      </c>
      <c r="W8" s="207">
        <f>ROUND(W9+W10+W11,3)</f>
        <v>16.416</v>
      </c>
      <c r="X8" s="207">
        <f>ROUND(X9+X10+X11,3)</f>
        <v>14.329</v>
      </c>
      <c r="Y8" s="207">
        <f>ROUND(Y9+Y10+Y11,3)</f>
        <v>12.346</v>
      </c>
      <c r="Z8" s="204">
        <f>Z9+Z10+Z11</f>
        <v>2.003</v>
      </c>
      <c r="AA8" s="207">
        <f>ROUND(AA9+AA10+AA11,3)</f>
        <v>1.985</v>
      </c>
      <c r="AB8" s="207">
        <f>ROUND(AB9+AB10+AB11,3)</f>
        <v>0.009</v>
      </c>
      <c r="AC8" s="207">
        <f>ROUND(AC9+AC10+AC11,3)</f>
        <v>0.009</v>
      </c>
      <c r="AD8" s="208">
        <f>AD9+AD10+AD11</f>
        <v>0.022</v>
      </c>
      <c r="AE8" s="207">
        <f>ROUND(AE9+AE10+AE11,3)</f>
        <v>0.005</v>
      </c>
      <c r="AF8" s="207">
        <f>ROUND(AF9+AF10+AF11,3)</f>
        <v>0.009</v>
      </c>
      <c r="AG8" s="253">
        <f>ROUND(AG9+AG10+AG11,3)</f>
        <v>0.009</v>
      </c>
      <c r="AH8" s="204">
        <f>AH9+AH10+AH11</f>
        <v>30.345999999999997</v>
      </c>
      <c r="AI8" s="207">
        <f>ROUND(AI9+AI10+AI11,3)</f>
        <v>4.168</v>
      </c>
      <c r="AJ8" s="207">
        <f>ROUND(AJ9+AJ10+AJ11,3)</f>
        <v>11.28</v>
      </c>
      <c r="AK8" s="258">
        <f>ROUND(AK9+AK10+AK11,3)</f>
        <v>14.898</v>
      </c>
      <c r="AL8" s="210">
        <f>AL9+AL10+AL11</f>
        <v>75.4605</v>
      </c>
      <c r="AN8" s="267"/>
      <c r="AO8" s="5"/>
      <c r="AP8" s="5"/>
    </row>
    <row r="9" spans="1:38" ht="42.75" customHeight="1">
      <c r="A9" s="149" t="s">
        <v>101</v>
      </c>
      <c r="B9" s="146" t="s">
        <v>123</v>
      </c>
      <c r="C9" s="150" t="s">
        <v>60</v>
      </c>
      <c r="D9" s="205">
        <f>ROUND(E9+F9+G9,3)</f>
        <v>30.305</v>
      </c>
      <c r="E9" s="143">
        <v>12.59604</v>
      </c>
      <c r="F9" s="143">
        <v>9.744483</v>
      </c>
      <c r="G9" s="143">
        <v>7.964314</v>
      </c>
      <c r="H9" s="205">
        <f>ROUND(I9+J9+K9,3)</f>
        <v>1.501</v>
      </c>
      <c r="I9" s="143">
        <v>1.501392</v>
      </c>
      <c r="J9" s="143">
        <v>0</v>
      </c>
      <c r="K9" s="143">
        <v>0</v>
      </c>
      <c r="L9" s="205">
        <f>ROUND(M9+N9+O9,3)</f>
        <v>0</v>
      </c>
      <c r="M9" s="143">
        <v>0</v>
      </c>
      <c r="N9" s="143">
        <v>0</v>
      </c>
      <c r="O9" s="143">
        <v>0</v>
      </c>
      <c r="P9" s="205">
        <f>ROUND(Q9+R9+S9,3)</f>
        <v>26.578</v>
      </c>
      <c r="Q9" s="143">
        <v>6.502185546193506</v>
      </c>
      <c r="R9" s="143">
        <v>8.799876135064617</v>
      </c>
      <c r="S9" s="143">
        <v>11.2755</v>
      </c>
      <c r="T9" s="212">
        <f>ROUND(S9+R9+Q9+O9+N9+M9+K9+J9+I9+G9+F9+E9,3)</f>
        <v>58.384</v>
      </c>
      <c r="V9" s="205">
        <f>ROUND(W9+X9+Y9,3)</f>
        <v>31.503</v>
      </c>
      <c r="W9" s="248">
        <v>11.995968</v>
      </c>
      <c r="X9" s="248">
        <v>10.472387</v>
      </c>
      <c r="Y9" s="248">
        <v>9.03462</v>
      </c>
      <c r="Z9" s="205">
        <f>ROUND(AA9+AB9+AC9,3)</f>
        <v>1.457</v>
      </c>
      <c r="AA9" s="248">
        <v>1.457197</v>
      </c>
      <c r="AB9" s="143">
        <v>0</v>
      </c>
      <c r="AC9" s="143">
        <v>0</v>
      </c>
      <c r="AD9" s="205">
        <f>ROUND(AE9+AF9+AG9,3)</f>
        <v>0</v>
      </c>
      <c r="AE9" s="143">
        <v>0</v>
      </c>
      <c r="AF9" s="143">
        <v>0</v>
      </c>
      <c r="AG9" s="254">
        <v>0</v>
      </c>
      <c r="AH9" s="205">
        <f>ROUND(AI9+AJ9+AK9,3)</f>
        <v>22.209</v>
      </c>
      <c r="AI9" s="248">
        <v>3.060113</v>
      </c>
      <c r="AJ9" s="248">
        <v>8.257448</v>
      </c>
      <c r="AK9" s="259">
        <v>10.891736</v>
      </c>
      <c r="AL9" s="212">
        <f>ROUND(AK9+AJ9+AI9+AG9+AF9+AE9+AC9+AB9+AA9+Y9+X9+W9,3)</f>
        <v>55.169</v>
      </c>
    </row>
    <row r="10" spans="1:39" ht="42.75" customHeight="1">
      <c r="A10" s="149" t="s">
        <v>102</v>
      </c>
      <c r="B10" s="146" t="s">
        <v>124</v>
      </c>
      <c r="C10" s="150" t="s">
        <v>60</v>
      </c>
      <c r="D10" s="205">
        <f>ROUND(E10+F10+G10,3)</f>
        <v>9.916</v>
      </c>
      <c r="E10" s="143">
        <v>4.103905</v>
      </c>
      <c r="F10" s="143">
        <v>3.186398</v>
      </c>
      <c r="G10" s="143">
        <v>2.625519</v>
      </c>
      <c r="H10" s="205">
        <f>ROUND(I10+J10+K10,3)</f>
        <v>0.682</v>
      </c>
      <c r="I10" s="143">
        <v>0.550836</v>
      </c>
      <c r="J10" s="143">
        <v>0.065579</v>
      </c>
      <c r="K10" s="143">
        <v>0.06557</v>
      </c>
      <c r="L10" s="205">
        <f>ROUND(M10+N10+O10,3)</f>
        <v>0.204</v>
      </c>
      <c r="M10" s="143">
        <v>0.068529</v>
      </c>
      <c r="N10" s="143">
        <v>0.068979</v>
      </c>
      <c r="O10" s="143">
        <v>0.06662</v>
      </c>
      <c r="P10" s="205">
        <f>ROUND(Q10+R10+S10,3)</f>
        <v>7.799</v>
      </c>
      <c r="Q10" s="143">
        <v>1.61369</v>
      </c>
      <c r="R10" s="143">
        <v>2.711443</v>
      </c>
      <c r="S10" s="143">
        <v>3.473844</v>
      </c>
      <c r="T10" s="212">
        <f>ROUND(S10+R10+Q10+O10+N10+M10+K10+J10+I10+G10+F10+E10,3)</f>
        <v>18.601</v>
      </c>
      <c r="V10" s="205">
        <f>ROUND(W10+X10+Y10,3)</f>
        <v>10.38</v>
      </c>
      <c r="W10" s="265">
        <v>3.95905</v>
      </c>
      <c r="X10" s="248">
        <v>3.454405</v>
      </c>
      <c r="Y10" s="248">
        <v>2.96689</v>
      </c>
      <c r="Z10" s="205">
        <f>ROUND(AA10+AB10+AC10,3)</f>
        <v>0.492</v>
      </c>
      <c r="AA10" s="248">
        <v>0.474564</v>
      </c>
      <c r="AB10" s="248">
        <v>0.00861</v>
      </c>
      <c r="AC10" s="248">
        <v>0.008575</v>
      </c>
      <c r="AD10" s="205">
        <f>ROUND(AE10+AF10+AG10,3)</f>
        <v>0.022</v>
      </c>
      <c r="AE10" s="248">
        <v>0.004573</v>
      </c>
      <c r="AF10" s="248">
        <v>0.008861</v>
      </c>
      <c r="AG10" s="255">
        <v>0.008575</v>
      </c>
      <c r="AH10" s="205">
        <f>ROUND(AI10+AJ10+AK10,3)</f>
        <v>7.292</v>
      </c>
      <c r="AI10" s="248">
        <v>0.994105</v>
      </c>
      <c r="AJ10" s="248">
        <v>2.708446</v>
      </c>
      <c r="AK10" s="259">
        <v>3.589092</v>
      </c>
      <c r="AL10" s="212">
        <f>ROUND(AK10+AJ10+AI10+AG10+AF10+AE10+AC10+AB10+AA10+Y10+X10+W10,3)</f>
        <v>18.186</v>
      </c>
      <c r="AM10" s="278"/>
    </row>
    <row r="11" spans="1:38" ht="42.75" customHeight="1">
      <c r="A11" s="149" t="s">
        <v>103</v>
      </c>
      <c r="B11" s="146" t="s">
        <v>125</v>
      </c>
      <c r="C11" s="150" t="s">
        <v>60</v>
      </c>
      <c r="D11" s="205">
        <f>ROUND(E11+F11+G11,3)</f>
        <v>2.185</v>
      </c>
      <c r="E11" s="143">
        <v>0.919332</v>
      </c>
      <c r="F11" s="143">
        <v>0.704326</v>
      </c>
      <c r="G11" s="143">
        <v>0.561763</v>
      </c>
      <c r="H11" s="205">
        <f>ROUND(I11+J11+K11,3)</f>
        <v>0.102</v>
      </c>
      <c r="I11" s="143">
        <v>0.102206</v>
      </c>
      <c r="J11" s="143">
        <v>0</v>
      </c>
      <c r="K11" s="143">
        <v>0</v>
      </c>
      <c r="L11" s="205">
        <f>ROUND(M11+N11+O11,3)</f>
        <v>0</v>
      </c>
      <c r="M11" s="143">
        <v>0</v>
      </c>
      <c r="N11" s="143">
        <v>0</v>
      </c>
      <c r="O11" s="143">
        <v>0</v>
      </c>
      <c r="P11" s="205">
        <f>ROUND(Q11+R11+S11,3)</f>
        <v>2.05</v>
      </c>
      <c r="Q11" s="143">
        <v>0.3056713116694983</v>
      </c>
      <c r="R11" s="143">
        <v>0.667054965000447</v>
      </c>
      <c r="S11" s="143">
        <v>1.0774</v>
      </c>
      <c r="T11" s="213">
        <f>ROUND(S11+R11+Q11+O11+N11+M11+K11+J11+I11+G11+F11+E11,4)</f>
        <v>4.3378</v>
      </c>
      <c r="V11" s="205">
        <f>ROUND(W11+X11+Y11,3)</f>
        <v>1.207</v>
      </c>
      <c r="W11" s="248">
        <v>0.460779</v>
      </c>
      <c r="X11" s="248">
        <v>0.401907</v>
      </c>
      <c r="Y11" s="248">
        <v>0.344176</v>
      </c>
      <c r="Z11" s="205">
        <f>ROUND(AA11+AB11+AC11,3)</f>
        <v>0.054</v>
      </c>
      <c r="AA11" s="248">
        <v>0.053647</v>
      </c>
      <c r="AB11" s="143">
        <v>0</v>
      </c>
      <c r="AC11" s="143">
        <v>0</v>
      </c>
      <c r="AD11" s="205">
        <f>ROUND(AE11+AF11+AG11,3)</f>
        <v>0</v>
      </c>
      <c r="AE11" s="143">
        <v>0</v>
      </c>
      <c r="AF11" s="143">
        <v>0</v>
      </c>
      <c r="AG11" s="254">
        <v>0</v>
      </c>
      <c r="AH11" s="205">
        <f>ROUND(AI11+AJ11+AK11,3)</f>
        <v>0.845</v>
      </c>
      <c r="AI11" s="248">
        <v>0.113778</v>
      </c>
      <c r="AJ11" s="248">
        <v>0.313948</v>
      </c>
      <c r="AK11" s="259">
        <v>0.4173</v>
      </c>
      <c r="AL11" s="213">
        <f>ROUND(AK11+AJ11+AI11+AG11+AF11+AE11+AC11+AB11+AA11+Y11+X11+W11,4)</f>
        <v>2.1055</v>
      </c>
    </row>
    <row r="12" spans="1:38" ht="42.75" customHeight="1" thickBot="1">
      <c r="A12" s="152">
        <v>2</v>
      </c>
      <c r="B12" s="153" t="s">
        <v>126</v>
      </c>
      <c r="C12" s="166" t="s">
        <v>60</v>
      </c>
      <c r="D12" s="206">
        <f>E12+F12+G12</f>
        <v>0</v>
      </c>
      <c r="E12" s="173">
        <v>0</v>
      </c>
      <c r="F12" s="173">
        <v>0</v>
      </c>
      <c r="G12" s="173">
        <v>0</v>
      </c>
      <c r="H12" s="206">
        <f>I12+J12+K12</f>
        <v>0</v>
      </c>
      <c r="I12" s="188">
        <v>0</v>
      </c>
      <c r="J12" s="188">
        <v>0</v>
      </c>
      <c r="K12" s="189">
        <v>0</v>
      </c>
      <c r="L12" s="206">
        <f>M12+N12+O12</f>
        <v>0</v>
      </c>
      <c r="M12" s="188">
        <v>0</v>
      </c>
      <c r="N12" s="188">
        <v>0</v>
      </c>
      <c r="O12" s="186">
        <v>0</v>
      </c>
      <c r="P12" s="211">
        <f>Q12+R12+S12</f>
        <v>0</v>
      </c>
      <c r="Q12" s="188">
        <v>0</v>
      </c>
      <c r="R12" s="188">
        <v>0</v>
      </c>
      <c r="S12" s="186">
        <v>0</v>
      </c>
      <c r="T12" s="214">
        <f>S12+R12+Q12+O12+N12+M12+K12+J12+I12+G12+F12+E12</f>
        <v>0</v>
      </c>
      <c r="V12" s="206">
        <f>W12+X12+Y12</f>
        <v>0</v>
      </c>
      <c r="W12" s="173">
        <v>0</v>
      </c>
      <c r="X12" s="173">
        <v>0</v>
      </c>
      <c r="Y12" s="173">
        <v>0</v>
      </c>
      <c r="Z12" s="206">
        <f>AA12+AB12+AC12</f>
        <v>0</v>
      </c>
      <c r="AA12" s="188">
        <v>0</v>
      </c>
      <c r="AB12" s="188">
        <v>0</v>
      </c>
      <c r="AC12" s="189">
        <v>0</v>
      </c>
      <c r="AD12" s="206">
        <f>AE12+AF12+AG12</f>
        <v>0</v>
      </c>
      <c r="AE12" s="188">
        <v>0</v>
      </c>
      <c r="AF12" s="188">
        <v>0</v>
      </c>
      <c r="AG12" s="189">
        <v>0</v>
      </c>
      <c r="AH12" s="206">
        <f>AI12+AJ12+AK12</f>
        <v>0</v>
      </c>
      <c r="AI12" s="188">
        <v>0</v>
      </c>
      <c r="AJ12" s="188">
        <v>0</v>
      </c>
      <c r="AK12" s="186">
        <v>0</v>
      </c>
      <c r="AL12" s="214">
        <f>AK12+AJ12+AI12+AG12+AF12+AE12+AC12+AB12+AA12+Y12+X12+W12</f>
        <v>0</v>
      </c>
    </row>
    <row r="13" spans="1:38" ht="42.75" customHeight="1" thickBot="1">
      <c r="A13" s="167">
        <v>3</v>
      </c>
      <c r="B13" s="168" t="s">
        <v>135</v>
      </c>
      <c r="C13" s="169" t="s">
        <v>96</v>
      </c>
      <c r="D13" s="223">
        <f>D14+D19</f>
        <v>1828.9914660900001</v>
      </c>
      <c r="E13" s="224">
        <f>ROUND(E14+E19,2)</f>
        <v>759.78</v>
      </c>
      <c r="F13" s="224">
        <f>ROUND(F14+F19,2)</f>
        <v>588.07</v>
      </c>
      <c r="G13" s="224">
        <f>ROUND(G14+G19,2)</f>
        <v>481.14</v>
      </c>
      <c r="H13" s="223">
        <f>H14+H19</f>
        <v>102.80589276</v>
      </c>
      <c r="I13" s="224">
        <f>ROUND(I14+I19,2)</f>
        <v>94.13</v>
      </c>
      <c r="J13" s="224">
        <f>ROUND(J14+J19,2)</f>
        <v>4.34</v>
      </c>
      <c r="K13" s="224">
        <f>ROUND(K14+K19,2)</f>
        <v>4.34</v>
      </c>
      <c r="L13" s="223">
        <f>L14+L19</f>
        <v>13.51016832</v>
      </c>
      <c r="M13" s="224">
        <f>ROUND(M14+M19,2)</f>
        <v>4.54</v>
      </c>
      <c r="N13" s="224">
        <f>ROUND(N14+N19,2)</f>
        <v>4.56</v>
      </c>
      <c r="O13" s="224">
        <f>ROUND(O14+O19,2)</f>
        <v>4.41</v>
      </c>
      <c r="P13" s="225">
        <f>P14+P19</f>
        <v>1553.645040500345</v>
      </c>
      <c r="Q13" s="224">
        <f>ROUND(Q14+Q19,2)</f>
        <v>347.74</v>
      </c>
      <c r="R13" s="224">
        <f>ROUND(R14+R19,2)</f>
        <v>522.15</v>
      </c>
      <c r="S13" s="224">
        <f>ROUND(S14+S19,2)</f>
        <v>683.75</v>
      </c>
      <c r="T13" s="200">
        <f>T14+T19</f>
        <v>3498.92</v>
      </c>
      <c r="V13" s="223">
        <f>V14+V19</f>
        <v>1835.8055788299998</v>
      </c>
      <c r="W13" s="224">
        <f>ROUND(W14+W19,2)</f>
        <v>699.55</v>
      </c>
      <c r="X13" s="224">
        <f>ROUND(X14+X19,2)</f>
        <v>610.56</v>
      </c>
      <c r="Y13" s="224">
        <f>ROUND(Y14+Y19,2)</f>
        <v>525.7</v>
      </c>
      <c r="Z13" s="223">
        <f>Z14+Z19</f>
        <v>85.54528300999999</v>
      </c>
      <c r="AA13" s="224">
        <f>ROUND(AA14+AA19,2)</f>
        <v>84.39</v>
      </c>
      <c r="AB13" s="224">
        <f>ROUND(AB14+AB19,2)</f>
        <v>0.58</v>
      </c>
      <c r="AC13" s="224">
        <f>ROUND(AC14+AC19,2)</f>
        <v>0.58</v>
      </c>
      <c r="AD13" s="223">
        <f>AD14+AD19</f>
        <v>1.47798996</v>
      </c>
      <c r="AE13" s="224">
        <f>ROUND(AE14+AE19,2)</f>
        <v>0.32</v>
      </c>
      <c r="AF13" s="224">
        <f>ROUND(AF14+AF19,2)</f>
        <v>0.59</v>
      </c>
      <c r="AG13" s="256">
        <f>ROUND(AG14+AG19,2)</f>
        <v>0.58</v>
      </c>
      <c r="AH13" s="223">
        <f>AH14+AH19</f>
        <v>1292.08128613</v>
      </c>
      <c r="AI13" s="224">
        <f>ROUND(AI14+AI19,2)</f>
        <v>177.16</v>
      </c>
      <c r="AJ13" s="224">
        <f>ROUND(AJ14+AJ19,2)</f>
        <v>480.21</v>
      </c>
      <c r="AK13" s="260">
        <f>ROUND(AK14+AK19,2)</f>
        <v>634.71</v>
      </c>
      <c r="AL13" s="200">
        <f>AL14+AL19</f>
        <v>3214.83</v>
      </c>
    </row>
    <row r="14" spans="1:39" ht="42.75" customHeight="1">
      <c r="A14" s="147" t="s">
        <v>110</v>
      </c>
      <c r="B14" s="165" t="s">
        <v>130</v>
      </c>
      <c r="C14" s="148" t="s">
        <v>96</v>
      </c>
      <c r="D14" s="215">
        <f>D16+D18</f>
        <v>1339.17</v>
      </c>
      <c r="E14" s="216">
        <f>E16+E18</f>
        <v>556.4</v>
      </c>
      <c r="F14" s="216">
        <f>F16+F18</f>
        <v>430.59</v>
      </c>
      <c r="G14" s="217">
        <f>G16+G18</f>
        <v>352.18</v>
      </c>
      <c r="H14" s="218">
        <f>H16+H18</f>
        <v>72.18</v>
      </c>
      <c r="I14" s="219">
        <f aca="true" t="shared" si="0" ref="I14:R14">I16+I18</f>
        <v>68.02</v>
      </c>
      <c r="J14" s="216">
        <f t="shared" si="0"/>
        <v>2.08</v>
      </c>
      <c r="K14" s="220">
        <f t="shared" si="0"/>
        <v>2.08</v>
      </c>
      <c r="L14" s="218">
        <f t="shared" si="0"/>
        <v>6.48</v>
      </c>
      <c r="M14" s="219">
        <f t="shared" si="0"/>
        <v>2.18</v>
      </c>
      <c r="N14" s="219">
        <f t="shared" si="0"/>
        <v>2.18</v>
      </c>
      <c r="O14" s="221">
        <f t="shared" si="0"/>
        <v>2.12</v>
      </c>
      <c r="P14" s="222">
        <f>P16+P18</f>
        <v>1150.35</v>
      </c>
      <c r="Q14" s="219">
        <f t="shared" si="0"/>
        <v>265.97</v>
      </c>
      <c r="R14" s="219">
        <f t="shared" si="0"/>
        <v>384.57</v>
      </c>
      <c r="S14" s="221">
        <f>S16+S18</f>
        <v>499.81</v>
      </c>
      <c r="T14" s="196">
        <f>ROUND(T15*T8-0.02,2)</f>
        <v>2568.15</v>
      </c>
      <c r="V14" s="215">
        <f>V16+V18</f>
        <v>1360.82</v>
      </c>
      <c r="W14" s="216">
        <f>W16+W18</f>
        <v>518.42</v>
      </c>
      <c r="X14" s="216">
        <f>X16+X18</f>
        <v>452.51</v>
      </c>
      <c r="Y14" s="217">
        <f>Y16+Y18</f>
        <v>389.89</v>
      </c>
      <c r="Z14" s="218">
        <f>Z16+Z18</f>
        <v>63.25</v>
      </c>
      <c r="AA14" s="219">
        <f aca="true" t="shared" si="1" ref="AA14:AG14">AA16+AA18</f>
        <v>62.69</v>
      </c>
      <c r="AB14" s="216">
        <f t="shared" si="1"/>
        <v>0.28</v>
      </c>
      <c r="AC14" s="220">
        <f t="shared" si="1"/>
        <v>0.28</v>
      </c>
      <c r="AD14" s="218">
        <f t="shared" si="1"/>
        <v>0.72</v>
      </c>
      <c r="AE14" s="219">
        <f t="shared" si="1"/>
        <v>0.16</v>
      </c>
      <c r="AF14" s="219">
        <f t="shared" si="1"/>
        <v>0.28</v>
      </c>
      <c r="AG14" s="240">
        <f t="shared" si="1"/>
        <v>0.28</v>
      </c>
      <c r="AH14" s="218">
        <f>AH16+AH18</f>
        <v>958.33</v>
      </c>
      <c r="AI14" s="219">
        <f>AI16+AI18</f>
        <v>131.63</v>
      </c>
      <c r="AJ14" s="219">
        <f>AJ16+AJ18</f>
        <v>356.22</v>
      </c>
      <c r="AK14" s="221">
        <f>AK16+AK18</f>
        <v>470.48</v>
      </c>
      <c r="AL14" s="263">
        <f>ROUND(AL15*AL8,2)</f>
        <v>2383.04</v>
      </c>
      <c r="AM14" s="271"/>
    </row>
    <row r="15" spans="1:38" ht="42.75" customHeight="1">
      <c r="A15" s="284" t="s">
        <v>111</v>
      </c>
      <c r="B15" s="285" t="s">
        <v>121</v>
      </c>
      <c r="C15" s="151" t="s">
        <v>83</v>
      </c>
      <c r="D15" s="140">
        <f>$T$15</f>
        <v>31.58</v>
      </c>
      <c r="E15" s="140">
        <f aca="true" t="shared" si="2" ref="E15:S15">$T$15</f>
        <v>31.58</v>
      </c>
      <c r="F15" s="140">
        <f t="shared" si="2"/>
        <v>31.58</v>
      </c>
      <c r="G15" s="140">
        <f t="shared" si="2"/>
        <v>31.58</v>
      </c>
      <c r="H15" s="140">
        <f t="shared" si="2"/>
        <v>31.58</v>
      </c>
      <c r="I15" s="140">
        <f t="shared" si="2"/>
        <v>31.58</v>
      </c>
      <c r="J15" s="140">
        <f t="shared" si="2"/>
        <v>31.58</v>
      </c>
      <c r="K15" s="140">
        <f t="shared" si="2"/>
        <v>31.58</v>
      </c>
      <c r="L15" s="140">
        <f t="shared" si="2"/>
        <v>31.58</v>
      </c>
      <c r="M15" s="140">
        <f t="shared" si="2"/>
        <v>31.58</v>
      </c>
      <c r="N15" s="140">
        <f t="shared" si="2"/>
        <v>31.58</v>
      </c>
      <c r="O15" s="140">
        <f t="shared" si="2"/>
        <v>31.58</v>
      </c>
      <c r="P15" s="140">
        <f t="shared" si="2"/>
        <v>31.58</v>
      </c>
      <c r="Q15" s="140">
        <f t="shared" si="2"/>
        <v>31.58</v>
      </c>
      <c r="R15" s="140">
        <f t="shared" si="2"/>
        <v>31.58</v>
      </c>
      <c r="S15" s="140">
        <f t="shared" si="2"/>
        <v>31.58</v>
      </c>
      <c r="T15" s="247">
        <v>31.58</v>
      </c>
      <c r="V15" s="181">
        <f>$AL$15</f>
        <v>31.58</v>
      </c>
      <c r="W15" s="141">
        <f aca="true" t="shared" si="3" ref="W15:AK15">$AL$15</f>
        <v>31.58</v>
      </c>
      <c r="X15" s="141">
        <f t="shared" si="3"/>
        <v>31.58</v>
      </c>
      <c r="Y15" s="142">
        <f t="shared" si="3"/>
        <v>31.58</v>
      </c>
      <c r="Z15" s="181">
        <f>$AL$15</f>
        <v>31.58</v>
      </c>
      <c r="AA15" s="141">
        <f t="shared" si="3"/>
        <v>31.58</v>
      </c>
      <c r="AB15" s="141">
        <f t="shared" si="3"/>
        <v>31.58</v>
      </c>
      <c r="AC15" s="142">
        <f t="shared" si="3"/>
        <v>31.58</v>
      </c>
      <c r="AD15" s="181">
        <f>$AL$15</f>
        <v>31.58</v>
      </c>
      <c r="AE15" s="141">
        <f t="shared" si="3"/>
        <v>31.58</v>
      </c>
      <c r="AF15" s="141">
        <f t="shared" si="3"/>
        <v>31.58</v>
      </c>
      <c r="AG15" s="261">
        <f t="shared" si="3"/>
        <v>31.58</v>
      </c>
      <c r="AH15" s="181">
        <f>$AL$15</f>
        <v>31.58</v>
      </c>
      <c r="AI15" s="141">
        <f t="shared" si="3"/>
        <v>31.58</v>
      </c>
      <c r="AJ15" s="141">
        <f t="shared" si="3"/>
        <v>31.58</v>
      </c>
      <c r="AK15" s="182">
        <f t="shared" si="3"/>
        <v>31.58</v>
      </c>
      <c r="AL15" s="247">
        <v>31.58</v>
      </c>
    </row>
    <row r="16" spans="1:38" ht="42.75" customHeight="1">
      <c r="A16" s="284"/>
      <c r="B16" s="285"/>
      <c r="C16" s="151" t="s">
        <v>96</v>
      </c>
      <c r="D16" s="226">
        <f>ROUND(SUM(E16:G16),2)</f>
        <v>1339.17</v>
      </c>
      <c r="E16" s="199">
        <f>ROUND(E15*E8,2)-0.01</f>
        <v>556.4</v>
      </c>
      <c r="F16" s="227">
        <f>ROUND(F15*F8,2)</f>
        <v>430.59</v>
      </c>
      <c r="G16" s="227">
        <f>ROUND(G15*G8,2)</f>
        <v>352.18</v>
      </c>
      <c r="H16" s="226">
        <f>ROUND(SUM(I16:K16),2)</f>
        <v>72.18</v>
      </c>
      <c r="I16" s="227">
        <f>ROUND(I15*I8,2)</f>
        <v>68.02</v>
      </c>
      <c r="J16" s="227">
        <f>ROUND(J15*J8,2)</f>
        <v>2.08</v>
      </c>
      <c r="K16" s="227">
        <f>ROUND(K15*K8,2)</f>
        <v>2.08</v>
      </c>
      <c r="L16" s="226">
        <f>ROUND(SUM(M16:O16),2)</f>
        <v>6.48</v>
      </c>
      <c r="M16" s="227">
        <f>ROUND(M15*M8,2)</f>
        <v>2.18</v>
      </c>
      <c r="N16" s="227">
        <f>ROUND(N15*N8,2)</f>
        <v>2.18</v>
      </c>
      <c r="O16" s="227">
        <f>ROUND(O15*O8,2)</f>
        <v>2.12</v>
      </c>
      <c r="P16" s="226">
        <f>ROUND(SUM(Q16:S16),2)</f>
        <v>1150.35</v>
      </c>
      <c r="Q16" s="227">
        <f>ROUND(Q15*Q8,2)</f>
        <v>265.97</v>
      </c>
      <c r="R16" s="199">
        <f>ROUND(R15*R8,2)-0.01</f>
        <v>384.57</v>
      </c>
      <c r="S16" s="199">
        <f>ROUND(S15*S8,2)-0.01</f>
        <v>499.81</v>
      </c>
      <c r="T16" s="197">
        <f>D16+H16+L16+P16</f>
        <v>2568.1800000000003</v>
      </c>
      <c r="V16" s="226">
        <f>ROUND(SUM(W16:Y16),2)</f>
        <v>1360.82</v>
      </c>
      <c r="W16" s="227">
        <f>ROUND(W15*W8,2)</f>
        <v>518.42</v>
      </c>
      <c r="X16" s="227">
        <f>ROUND(X15*X8,2)</f>
        <v>452.51</v>
      </c>
      <c r="Y16" s="227">
        <f>ROUND(Y15*Y8,2)</f>
        <v>389.89</v>
      </c>
      <c r="Z16" s="226">
        <f>ROUND(SUM(AA16:AC16),2)</f>
        <v>63.25</v>
      </c>
      <c r="AA16" s="227">
        <f>ROUND(AA15*AA8,2)</f>
        <v>62.69</v>
      </c>
      <c r="AB16" s="227">
        <f>ROUND(AB15*AB8,2)</f>
        <v>0.28</v>
      </c>
      <c r="AC16" s="227">
        <f>ROUND(AC15*AC8,2)</f>
        <v>0.28</v>
      </c>
      <c r="AD16" s="226">
        <f>ROUND(SUM(AE16:AG16),2)</f>
        <v>0.72</v>
      </c>
      <c r="AE16" s="227">
        <f>ROUND(AE15*AE8,2)</f>
        <v>0.16</v>
      </c>
      <c r="AF16" s="227">
        <f>ROUND(AF15*AF8,2)</f>
        <v>0.28</v>
      </c>
      <c r="AG16" s="257">
        <f>ROUND(AG15*AG8,2)</f>
        <v>0.28</v>
      </c>
      <c r="AH16" s="226">
        <f>ROUND(SUM(AI16:AK16),2)</f>
        <v>958.33</v>
      </c>
      <c r="AI16" s="227">
        <f>ROUND(AI15*AI8,2)</f>
        <v>131.63</v>
      </c>
      <c r="AJ16" s="227">
        <f>ROUND(AJ15*AJ8,2)</f>
        <v>356.22</v>
      </c>
      <c r="AK16" s="245">
        <f>ROUND(AK15*AK8,2)</f>
        <v>470.48</v>
      </c>
      <c r="AL16" s="249">
        <f>V16+Z16+AD16+AH16</f>
        <v>2383.12</v>
      </c>
    </row>
    <row r="17" spans="1:38" ht="42.75" customHeight="1">
      <c r="A17" s="284" t="s">
        <v>112</v>
      </c>
      <c r="B17" s="285" t="s">
        <v>122</v>
      </c>
      <c r="C17" s="151" t="s">
        <v>83</v>
      </c>
      <c r="D17" s="233">
        <f aca="true" t="shared" si="4" ref="D17:R17">$T$17</f>
        <v>31.579704584692116</v>
      </c>
      <c r="E17" s="234">
        <f t="shared" si="4"/>
        <v>31.579704584692116</v>
      </c>
      <c r="F17" s="234">
        <f t="shared" si="4"/>
        <v>31.579704584692116</v>
      </c>
      <c r="G17" s="235">
        <f t="shared" si="4"/>
        <v>31.579704584692116</v>
      </c>
      <c r="H17" s="233">
        <f t="shared" si="4"/>
        <v>31.579704584692116</v>
      </c>
      <c r="I17" s="234">
        <f t="shared" si="4"/>
        <v>31.579704584692116</v>
      </c>
      <c r="J17" s="234">
        <f t="shared" si="4"/>
        <v>31.579704584692116</v>
      </c>
      <c r="K17" s="236">
        <f t="shared" si="4"/>
        <v>31.579704584692116</v>
      </c>
      <c r="L17" s="233">
        <f t="shared" si="4"/>
        <v>31.579704584692116</v>
      </c>
      <c r="M17" s="234">
        <f t="shared" si="4"/>
        <v>31.579704584692116</v>
      </c>
      <c r="N17" s="234">
        <f t="shared" si="4"/>
        <v>31.579704584692116</v>
      </c>
      <c r="O17" s="235">
        <f t="shared" si="4"/>
        <v>31.579704584692116</v>
      </c>
      <c r="P17" s="237">
        <f t="shared" si="4"/>
        <v>31.579704584692116</v>
      </c>
      <c r="Q17" s="234">
        <f t="shared" si="4"/>
        <v>31.579704584692116</v>
      </c>
      <c r="R17" s="234">
        <f t="shared" si="4"/>
        <v>31.579704584692116</v>
      </c>
      <c r="S17" s="235">
        <f>$T$17</f>
        <v>31.579704584692116</v>
      </c>
      <c r="T17" s="156">
        <f>IF(T12+T8=0,0,T14/(T8+T12))</f>
        <v>31.579704584692116</v>
      </c>
      <c r="V17" s="233">
        <f aca="true" t="shared" si="5" ref="V17:AK17">$T$17</f>
        <v>31.579704584692116</v>
      </c>
      <c r="W17" s="234">
        <f t="shared" si="5"/>
        <v>31.579704584692116</v>
      </c>
      <c r="X17" s="234">
        <f t="shared" si="5"/>
        <v>31.579704584692116</v>
      </c>
      <c r="Y17" s="235">
        <f t="shared" si="5"/>
        <v>31.579704584692116</v>
      </c>
      <c r="Z17" s="233">
        <f t="shared" si="5"/>
        <v>31.579704584692116</v>
      </c>
      <c r="AA17" s="234">
        <f t="shared" si="5"/>
        <v>31.579704584692116</v>
      </c>
      <c r="AB17" s="234">
        <f t="shared" si="5"/>
        <v>31.579704584692116</v>
      </c>
      <c r="AC17" s="236">
        <f t="shared" si="5"/>
        <v>31.579704584692116</v>
      </c>
      <c r="AD17" s="233">
        <f t="shared" si="5"/>
        <v>31.579704584692116</v>
      </c>
      <c r="AE17" s="234">
        <f t="shared" si="5"/>
        <v>31.579704584692116</v>
      </c>
      <c r="AF17" s="234">
        <f t="shared" si="5"/>
        <v>31.579704584692116</v>
      </c>
      <c r="AG17" s="236">
        <f t="shared" si="5"/>
        <v>31.579704584692116</v>
      </c>
      <c r="AH17" s="233">
        <f t="shared" si="5"/>
        <v>31.579704584692116</v>
      </c>
      <c r="AI17" s="234">
        <f t="shared" si="5"/>
        <v>31.579704584692116</v>
      </c>
      <c r="AJ17" s="234">
        <f t="shared" si="5"/>
        <v>31.579704584692116</v>
      </c>
      <c r="AK17" s="235">
        <f t="shared" si="5"/>
        <v>31.579704584692116</v>
      </c>
      <c r="AL17" s="156">
        <f>IF(AL12+AL8=0,0,AL14/(AL8+AL12))</f>
        <v>31.579965677407387</v>
      </c>
    </row>
    <row r="18" spans="1:38" ht="42.75" customHeight="1" thickBot="1">
      <c r="A18" s="286"/>
      <c r="B18" s="287"/>
      <c r="C18" s="154" t="s">
        <v>96</v>
      </c>
      <c r="D18" s="228">
        <f>D17*D12</f>
        <v>0</v>
      </c>
      <c r="E18" s="229">
        <f aca="true" t="shared" si="6" ref="E18:S18">E17*E12</f>
        <v>0</v>
      </c>
      <c r="F18" s="229">
        <f t="shared" si="6"/>
        <v>0</v>
      </c>
      <c r="G18" s="230">
        <f t="shared" si="6"/>
        <v>0</v>
      </c>
      <c r="H18" s="228">
        <f t="shared" si="6"/>
        <v>0</v>
      </c>
      <c r="I18" s="229">
        <f t="shared" si="6"/>
        <v>0</v>
      </c>
      <c r="J18" s="229">
        <f t="shared" si="6"/>
        <v>0</v>
      </c>
      <c r="K18" s="231">
        <f t="shared" si="6"/>
        <v>0</v>
      </c>
      <c r="L18" s="228">
        <f t="shared" si="6"/>
        <v>0</v>
      </c>
      <c r="M18" s="229">
        <f t="shared" si="6"/>
        <v>0</v>
      </c>
      <c r="N18" s="229">
        <f t="shared" si="6"/>
        <v>0</v>
      </c>
      <c r="O18" s="230">
        <f t="shared" si="6"/>
        <v>0</v>
      </c>
      <c r="P18" s="232">
        <f t="shared" si="6"/>
        <v>0</v>
      </c>
      <c r="Q18" s="229">
        <f t="shared" si="6"/>
        <v>0</v>
      </c>
      <c r="R18" s="229">
        <f t="shared" si="6"/>
        <v>0</v>
      </c>
      <c r="S18" s="230">
        <f t="shared" si="6"/>
        <v>0</v>
      </c>
      <c r="T18" s="171">
        <f>T17*T12</f>
        <v>0</v>
      </c>
      <c r="V18" s="228">
        <f>V17*V12</f>
        <v>0</v>
      </c>
      <c r="W18" s="229">
        <f aca="true" t="shared" si="7" ref="W18:AK18">W17*W12</f>
        <v>0</v>
      </c>
      <c r="X18" s="229">
        <f t="shared" si="7"/>
        <v>0</v>
      </c>
      <c r="Y18" s="230">
        <f t="shared" si="7"/>
        <v>0</v>
      </c>
      <c r="Z18" s="228">
        <f t="shared" si="7"/>
        <v>0</v>
      </c>
      <c r="AA18" s="229">
        <f t="shared" si="7"/>
        <v>0</v>
      </c>
      <c r="AB18" s="229">
        <f t="shared" si="7"/>
        <v>0</v>
      </c>
      <c r="AC18" s="231">
        <f t="shared" si="7"/>
        <v>0</v>
      </c>
      <c r="AD18" s="228">
        <f t="shared" si="7"/>
        <v>0</v>
      </c>
      <c r="AE18" s="229">
        <f t="shared" si="7"/>
        <v>0</v>
      </c>
      <c r="AF18" s="229">
        <f t="shared" si="7"/>
        <v>0</v>
      </c>
      <c r="AG18" s="231">
        <f t="shared" si="7"/>
        <v>0</v>
      </c>
      <c r="AH18" s="228">
        <f t="shared" si="7"/>
        <v>0</v>
      </c>
      <c r="AI18" s="229">
        <f t="shared" si="7"/>
        <v>0</v>
      </c>
      <c r="AJ18" s="229">
        <f t="shared" si="7"/>
        <v>0</v>
      </c>
      <c r="AK18" s="230">
        <f t="shared" si="7"/>
        <v>0</v>
      </c>
      <c r="AL18" s="262">
        <f>AL17*AL12</f>
        <v>0</v>
      </c>
    </row>
    <row r="19" spans="1:38" ht="42.75" customHeight="1">
      <c r="A19" s="163" t="s">
        <v>113</v>
      </c>
      <c r="B19" s="170" t="s">
        <v>114</v>
      </c>
      <c r="C19" s="183" t="s">
        <v>96</v>
      </c>
      <c r="D19" s="238">
        <f>D21+D22</f>
        <v>489.82146609</v>
      </c>
      <c r="E19" s="216">
        <f aca="true" t="shared" si="8" ref="E19:R19">E21+E22</f>
        <v>203.37673868000002</v>
      </c>
      <c r="F19" s="216">
        <f t="shared" si="8"/>
        <v>157.48073859</v>
      </c>
      <c r="G19" s="239">
        <f t="shared" si="8"/>
        <v>128.96398882</v>
      </c>
      <c r="H19" s="222">
        <f t="shared" si="8"/>
        <v>30.625892759999996</v>
      </c>
      <c r="I19" s="219">
        <f t="shared" si="8"/>
        <v>26.109121199999997</v>
      </c>
      <c r="J19" s="219">
        <f t="shared" si="8"/>
        <v>2.25854076</v>
      </c>
      <c r="K19" s="240">
        <f t="shared" si="8"/>
        <v>2.2582307999999998</v>
      </c>
      <c r="L19" s="218">
        <f t="shared" si="8"/>
        <v>7.03016832</v>
      </c>
      <c r="M19" s="219">
        <f t="shared" si="8"/>
        <v>2.36013876</v>
      </c>
      <c r="N19" s="219">
        <f t="shared" si="8"/>
        <v>2.37563676</v>
      </c>
      <c r="O19" s="221">
        <f t="shared" si="8"/>
        <v>2.2943928</v>
      </c>
      <c r="P19" s="222">
        <f t="shared" si="8"/>
        <v>403.295040500345</v>
      </c>
      <c r="Q19" s="219">
        <f t="shared" si="8"/>
        <v>81.77307074022387</v>
      </c>
      <c r="R19" s="219">
        <f t="shared" si="8"/>
        <v>137.5831714001211</v>
      </c>
      <c r="S19" s="221">
        <f>S21+S22</f>
        <v>183.93879835999996</v>
      </c>
      <c r="T19" s="164">
        <f>T21+T22</f>
        <v>930.77</v>
      </c>
      <c r="V19" s="238">
        <f>V21+V22</f>
        <v>474.98557882999995</v>
      </c>
      <c r="W19" s="216">
        <f aca="true" t="shared" si="9" ref="W19:AJ19">W21+W22</f>
        <v>181.12919364</v>
      </c>
      <c r="X19" s="216">
        <f t="shared" si="9"/>
        <v>158.04983794999998</v>
      </c>
      <c r="Y19" s="239">
        <f t="shared" si="9"/>
        <v>135.80654724</v>
      </c>
      <c r="Z19" s="222">
        <f t="shared" si="9"/>
        <v>22.29528301</v>
      </c>
      <c r="AA19" s="219">
        <f t="shared" si="9"/>
        <v>21.70343161</v>
      </c>
      <c r="AB19" s="219">
        <f t="shared" si="9"/>
        <v>0.29652839999999997</v>
      </c>
      <c r="AC19" s="240">
        <f t="shared" si="9"/>
        <v>0.29532299999999995</v>
      </c>
      <c r="AD19" s="218">
        <f t="shared" si="9"/>
        <v>0.75798996</v>
      </c>
      <c r="AE19" s="219">
        <f t="shared" si="9"/>
        <v>0.15749412</v>
      </c>
      <c r="AF19" s="219">
        <f t="shared" si="9"/>
        <v>0.30517284</v>
      </c>
      <c r="AG19" s="240">
        <f t="shared" si="9"/>
        <v>0.29532299999999995</v>
      </c>
      <c r="AH19" s="218">
        <f t="shared" si="9"/>
        <v>333.75128613</v>
      </c>
      <c r="AI19" s="219">
        <f t="shared" si="9"/>
        <v>45.53036285</v>
      </c>
      <c r="AJ19" s="219">
        <f t="shared" si="9"/>
        <v>123.99169903999999</v>
      </c>
      <c r="AK19" s="221">
        <f>AK21+AK22</f>
        <v>164.22922423999998</v>
      </c>
      <c r="AL19" s="164">
        <f>AL21+AL22</f>
        <v>831.79</v>
      </c>
    </row>
    <row r="20" spans="1:38" ht="42.75" customHeight="1">
      <c r="A20" s="284" t="s">
        <v>115</v>
      </c>
      <c r="B20" s="285" t="s">
        <v>122</v>
      </c>
      <c r="C20" s="184" t="s">
        <v>83</v>
      </c>
      <c r="D20" s="192">
        <f>$T$20</f>
        <v>0</v>
      </c>
      <c r="E20" s="201">
        <f aca="true" t="shared" si="10" ref="E20:R20">$T$20</f>
        <v>0</v>
      </c>
      <c r="F20" s="201">
        <f t="shared" si="10"/>
        <v>0</v>
      </c>
      <c r="G20" s="194">
        <f t="shared" si="10"/>
        <v>0</v>
      </c>
      <c r="H20" s="193">
        <f t="shared" si="10"/>
        <v>0</v>
      </c>
      <c r="I20" s="201">
        <f t="shared" si="10"/>
        <v>0</v>
      </c>
      <c r="J20" s="201">
        <f t="shared" si="10"/>
        <v>0</v>
      </c>
      <c r="K20" s="244">
        <f t="shared" si="10"/>
        <v>0</v>
      </c>
      <c r="L20" s="192">
        <f t="shared" si="10"/>
        <v>0</v>
      </c>
      <c r="M20" s="201">
        <f t="shared" si="10"/>
        <v>0</v>
      </c>
      <c r="N20" s="201">
        <f t="shared" si="10"/>
        <v>0</v>
      </c>
      <c r="O20" s="194">
        <f t="shared" si="10"/>
        <v>0</v>
      </c>
      <c r="P20" s="193">
        <f t="shared" si="10"/>
        <v>0</v>
      </c>
      <c r="Q20" s="201">
        <f t="shared" si="10"/>
        <v>0</v>
      </c>
      <c r="R20" s="201">
        <f t="shared" si="10"/>
        <v>0</v>
      </c>
      <c r="S20" s="194">
        <f>$T$20</f>
        <v>0</v>
      </c>
      <c r="T20" s="172">
        <v>0</v>
      </c>
      <c r="V20" s="192">
        <f aca="true" t="shared" si="11" ref="V20:AK20">$T$20</f>
        <v>0</v>
      </c>
      <c r="W20" s="201">
        <f t="shared" si="11"/>
        <v>0</v>
      </c>
      <c r="X20" s="201">
        <f t="shared" si="11"/>
        <v>0</v>
      </c>
      <c r="Y20" s="194">
        <f t="shared" si="11"/>
        <v>0</v>
      </c>
      <c r="Z20" s="193">
        <f t="shared" si="11"/>
        <v>0</v>
      </c>
      <c r="AA20" s="201">
        <f t="shared" si="11"/>
        <v>0</v>
      </c>
      <c r="AB20" s="201">
        <f t="shared" si="11"/>
        <v>0</v>
      </c>
      <c r="AC20" s="244">
        <f t="shared" si="11"/>
        <v>0</v>
      </c>
      <c r="AD20" s="192">
        <f t="shared" si="11"/>
        <v>0</v>
      </c>
      <c r="AE20" s="201">
        <f t="shared" si="11"/>
        <v>0</v>
      </c>
      <c r="AF20" s="201">
        <f t="shared" si="11"/>
        <v>0</v>
      </c>
      <c r="AG20" s="244">
        <f t="shared" si="11"/>
        <v>0</v>
      </c>
      <c r="AH20" s="192">
        <f t="shared" si="11"/>
        <v>0</v>
      </c>
      <c r="AI20" s="201">
        <f t="shared" si="11"/>
        <v>0</v>
      </c>
      <c r="AJ20" s="201">
        <f t="shared" si="11"/>
        <v>0</v>
      </c>
      <c r="AK20" s="194">
        <f t="shared" si="11"/>
        <v>0</v>
      </c>
      <c r="AL20" s="172">
        <v>0</v>
      </c>
    </row>
    <row r="21" spans="1:38" ht="42.75" customHeight="1">
      <c r="A21" s="284"/>
      <c r="B21" s="285"/>
      <c r="C21" s="184" t="s">
        <v>96</v>
      </c>
      <c r="D21" s="226">
        <f aca="true" t="shared" si="12" ref="D21:T21">D20*D12</f>
        <v>0</v>
      </c>
      <c r="E21" s="241">
        <f t="shared" si="12"/>
        <v>0</v>
      </c>
      <c r="F21" s="241">
        <f t="shared" si="12"/>
        <v>0</v>
      </c>
      <c r="G21" s="242">
        <f t="shared" si="12"/>
        <v>0</v>
      </c>
      <c r="H21" s="227">
        <f t="shared" si="12"/>
        <v>0</v>
      </c>
      <c r="I21" s="241">
        <f t="shared" si="12"/>
        <v>0</v>
      </c>
      <c r="J21" s="241">
        <f t="shared" si="12"/>
        <v>0</v>
      </c>
      <c r="K21" s="243">
        <f t="shared" si="12"/>
        <v>0</v>
      </c>
      <c r="L21" s="226">
        <f t="shared" si="12"/>
        <v>0</v>
      </c>
      <c r="M21" s="241">
        <f t="shared" si="12"/>
        <v>0</v>
      </c>
      <c r="N21" s="241">
        <f t="shared" si="12"/>
        <v>0</v>
      </c>
      <c r="O21" s="242">
        <f t="shared" si="12"/>
        <v>0</v>
      </c>
      <c r="P21" s="227">
        <f t="shared" si="12"/>
        <v>0</v>
      </c>
      <c r="Q21" s="241">
        <f t="shared" si="12"/>
        <v>0</v>
      </c>
      <c r="R21" s="241">
        <f t="shared" si="12"/>
        <v>0</v>
      </c>
      <c r="S21" s="242">
        <f t="shared" si="12"/>
        <v>0</v>
      </c>
      <c r="T21" s="156">
        <f t="shared" si="12"/>
        <v>0</v>
      </c>
      <c r="V21" s="226">
        <f aca="true" t="shared" si="13" ref="V21:AL21">V20*V12</f>
        <v>0</v>
      </c>
      <c r="W21" s="241">
        <f t="shared" si="13"/>
        <v>0</v>
      </c>
      <c r="X21" s="241">
        <f t="shared" si="13"/>
        <v>0</v>
      </c>
      <c r="Y21" s="242">
        <f t="shared" si="13"/>
        <v>0</v>
      </c>
      <c r="Z21" s="227">
        <f t="shared" si="13"/>
        <v>0</v>
      </c>
      <c r="AA21" s="241">
        <f t="shared" si="13"/>
        <v>0</v>
      </c>
      <c r="AB21" s="241">
        <f t="shared" si="13"/>
        <v>0</v>
      </c>
      <c r="AC21" s="243">
        <f t="shared" si="13"/>
        <v>0</v>
      </c>
      <c r="AD21" s="226">
        <f t="shared" si="13"/>
        <v>0</v>
      </c>
      <c r="AE21" s="241">
        <f t="shared" si="13"/>
        <v>0</v>
      </c>
      <c r="AF21" s="241">
        <f t="shared" si="13"/>
        <v>0</v>
      </c>
      <c r="AG21" s="243">
        <f t="shared" si="13"/>
        <v>0</v>
      </c>
      <c r="AH21" s="226">
        <f t="shared" si="13"/>
        <v>0</v>
      </c>
      <c r="AI21" s="241">
        <f t="shared" si="13"/>
        <v>0</v>
      </c>
      <c r="AJ21" s="241">
        <f t="shared" si="13"/>
        <v>0</v>
      </c>
      <c r="AK21" s="242">
        <f t="shared" si="13"/>
        <v>0</v>
      </c>
      <c r="AL21" s="156">
        <f t="shared" si="13"/>
        <v>0</v>
      </c>
    </row>
    <row r="22" spans="1:38" ht="42.75" customHeight="1">
      <c r="A22" s="149" t="s">
        <v>116</v>
      </c>
      <c r="B22" s="146" t="s">
        <v>136</v>
      </c>
      <c r="C22" s="184" t="s">
        <v>96</v>
      </c>
      <c r="D22" s="226">
        <f>D24+D26+D28</f>
        <v>489.82146609</v>
      </c>
      <c r="E22" s="241">
        <f aca="true" t="shared" si="14" ref="E22:R22">E24+E26+E28</f>
        <v>203.37673868000002</v>
      </c>
      <c r="F22" s="241">
        <f t="shared" si="14"/>
        <v>157.48073859</v>
      </c>
      <c r="G22" s="245">
        <f t="shared" si="14"/>
        <v>128.96398882</v>
      </c>
      <c r="H22" s="227">
        <f>H24+H26+H28</f>
        <v>30.625892759999996</v>
      </c>
      <c r="I22" s="241">
        <f t="shared" si="14"/>
        <v>26.109121199999997</v>
      </c>
      <c r="J22" s="227">
        <f t="shared" si="14"/>
        <v>2.25854076</v>
      </c>
      <c r="K22" s="243">
        <f t="shared" si="14"/>
        <v>2.2582307999999998</v>
      </c>
      <c r="L22" s="226">
        <f>L24+L26+L28</f>
        <v>7.03016832</v>
      </c>
      <c r="M22" s="241">
        <f t="shared" si="14"/>
        <v>2.36013876</v>
      </c>
      <c r="N22" s="241">
        <f t="shared" si="14"/>
        <v>2.37563676</v>
      </c>
      <c r="O22" s="242">
        <f t="shared" si="14"/>
        <v>2.2943928</v>
      </c>
      <c r="P22" s="227">
        <f>P24+P26+P28</f>
        <v>403.295040500345</v>
      </c>
      <c r="Q22" s="241">
        <f>Q24+Q26+Q28</f>
        <v>81.77307074022387</v>
      </c>
      <c r="R22" s="241">
        <f t="shared" si="14"/>
        <v>137.5831714001211</v>
      </c>
      <c r="S22" s="242">
        <f>S24+S26+S28</f>
        <v>183.93879835999996</v>
      </c>
      <c r="T22" s="197">
        <f>ROUND(S22+R22+Q22+O22+N22+M22+K22+J22+I22+G22+F22+E22,2)</f>
        <v>930.77</v>
      </c>
      <c r="V22" s="226">
        <f aca="true" t="shared" si="15" ref="V22:AK22">V24+V26+V28</f>
        <v>474.98557882999995</v>
      </c>
      <c r="W22" s="241">
        <f t="shared" si="15"/>
        <v>181.12919364</v>
      </c>
      <c r="X22" s="241">
        <f t="shared" si="15"/>
        <v>158.04983794999998</v>
      </c>
      <c r="Y22" s="245">
        <f t="shared" si="15"/>
        <v>135.80654724</v>
      </c>
      <c r="Z22" s="227">
        <f t="shared" si="15"/>
        <v>22.29528301</v>
      </c>
      <c r="AA22" s="241">
        <f t="shared" si="15"/>
        <v>21.70343161</v>
      </c>
      <c r="AB22" s="227">
        <f t="shared" si="15"/>
        <v>0.29652839999999997</v>
      </c>
      <c r="AC22" s="243">
        <f t="shared" si="15"/>
        <v>0.29532299999999995</v>
      </c>
      <c r="AD22" s="226">
        <f t="shared" si="15"/>
        <v>0.75798996</v>
      </c>
      <c r="AE22" s="241">
        <f t="shared" si="15"/>
        <v>0.15749412</v>
      </c>
      <c r="AF22" s="241">
        <f t="shared" si="15"/>
        <v>0.30517284</v>
      </c>
      <c r="AG22" s="243">
        <f t="shared" si="15"/>
        <v>0.29532299999999995</v>
      </c>
      <c r="AH22" s="226">
        <f>AH24+AH26+AH28</f>
        <v>333.75128613</v>
      </c>
      <c r="AI22" s="241">
        <f t="shared" si="15"/>
        <v>45.53036285</v>
      </c>
      <c r="AJ22" s="241">
        <f t="shared" si="15"/>
        <v>123.99169903999999</v>
      </c>
      <c r="AK22" s="242">
        <f t="shared" si="15"/>
        <v>164.22922423999998</v>
      </c>
      <c r="AL22" s="197">
        <f>ROUND(AK22+AJ22+AI22+AG22+AF22+AE22+AC22+AB22+AA22+Y22+X22+W22,2)</f>
        <v>831.79</v>
      </c>
    </row>
    <row r="23" spans="1:38" ht="19.5" customHeight="1">
      <c r="A23" s="284" t="s">
        <v>117</v>
      </c>
      <c r="B23" s="285" t="s">
        <v>132</v>
      </c>
      <c r="C23" s="184" t="s">
        <v>83</v>
      </c>
      <c r="D23" s="181">
        <f>L23</f>
        <v>2.41</v>
      </c>
      <c r="E23" s="141">
        <f aca="true" t="shared" si="16" ref="E23:K23">M23</f>
        <v>2.41</v>
      </c>
      <c r="F23" s="141">
        <f t="shared" si="16"/>
        <v>2.41</v>
      </c>
      <c r="G23" s="182">
        <f t="shared" si="16"/>
        <v>2.41</v>
      </c>
      <c r="H23" s="140">
        <f t="shared" si="16"/>
        <v>2.41</v>
      </c>
      <c r="I23" s="141">
        <f t="shared" si="16"/>
        <v>2.41</v>
      </c>
      <c r="J23" s="141">
        <f t="shared" si="16"/>
        <v>2.41</v>
      </c>
      <c r="K23" s="142">
        <f t="shared" si="16"/>
        <v>2.41</v>
      </c>
      <c r="L23" s="140">
        <f>T23</f>
        <v>2.41</v>
      </c>
      <c r="M23" s="141">
        <f>T23</f>
        <v>2.41</v>
      </c>
      <c r="N23" s="141">
        <f>T23</f>
        <v>2.41</v>
      </c>
      <c r="O23" s="139">
        <f>T23</f>
        <v>2.41</v>
      </c>
      <c r="P23" s="142">
        <f>T23</f>
        <v>2.41</v>
      </c>
      <c r="Q23" s="141">
        <f>T23</f>
        <v>2.41</v>
      </c>
      <c r="R23" s="141">
        <f>T23</f>
        <v>2.41</v>
      </c>
      <c r="S23" s="139">
        <f>T23</f>
        <v>2.41</v>
      </c>
      <c r="T23" s="172">
        <v>2.41</v>
      </c>
      <c r="V23" s="140">
        <f>AD23</f>
        <v>2.41</v>
      </c>
      <c r="W23" s="141">
        <f>AD23</f>
        <v>2.41</v>
      </c>
      <c r="X23" s="141">
        <f>AD23</f>
        <v>2.41</v>
      </c>
      <c r="Y23" s="139">
        <f>AD23</f>
        <v>2.41</v>
      </c>
      <c r="Z23" s="140">
        <f>AH23</f>
        <v>2.41</v>
      </c>
      <c r="AA23" s="141">
        <f>AH23</f>
        <v>2.41</v>
      </c>
      <c r="AB23" s="141">
        <f>AH23</f>
        <v>2.41</v>
      </c>
      <c r="AC23" s="139">
        <f>AH23</f>
        <v>2.41</v>
      </c>
      <c r="AD23" s="140">
        <f>AL23</f>
        <v>2.41</v>
      </c>
      <c r="AE23" s="141">
        <f>AL23</f>
        <v>2.41</v>
      </c>
      <c r="AF23" s="141">
        <f>AL23</f>
        <v>2.41</v>
      </c>
      <c r="AG23" s="175">
        <f>AL23</f>
        <v>2.41</v>
      </c>
      <c r="AH23" s="140">
        <f>AL23</f>
        <v>2.41</v>
      </c>
      <c r="AI23" s="141">
        <f>AL23</f>
        <v>2.41</v>
      </c>
      <c r="AJ23" s="141">
        <f>AL23</f>
        <v>2.41</v>
      </c>
      <c r="AK23" s="139">
        <f>AL23</f>
        <v>2.41</v>
      </c>
      <c r="AL23" s="172">
        <v>2.41</v>
      </c>
    </row>
    <row r="24" spans="1:38" ht="19.5" customHeight="1">
      <c r="A24" s="284"/>
      <c r="B24" s="285"/>
      <c r="C24" s="184" t="s">
        <v>96</v>
      </c>
      <c r="D24" s="226">
        <f>E24+F24+G24</f>
        <v>73.03465717</v>
      </c>
      <c r="E24" s="241">
        <f>E23*E9</f>
        <v>30.356456400000003</v>
      </c>
      <c r="F24" s="241">
        <f>F23*F9</f>
        <v>23.484204030000004</v>
      </c>
      <c r="G24" s="242">
        <f>G23*G9</f>
        <v>19.19399674</v>
      </c>
      <c r="H24" s="227">
        <f>I24+J24+K24</f>
        <v>3.6183547200000006</v>
      </c>
      <c r="I24" s="241">
        <f>I23*I9</f>
        <v>3.6183547200000006</v>
      </c>
      <c r="J24" s="227">
        <f>J23*J9</f>
        <v>0</v>
      </c>
      <c r="K24" s="227">
        <f>K23*K9</f>
        <v>0</v>
      </c>
      <c r="L24" s="226">
        <f>M24+N24+O24</f>
        <v>0</v>
      </c>
      <c r="M24" s="241">
        <f>M23*M9</f>
        <v>0</v>
      </c>
      <c r="N24" s="241">
        <f>N23*N9</f>
        <v>0</v>
      </c>
      <c r="O24" s="242">
        <f>O23*O9</f>
        <v>0</v>
      </c>
      <c r="P24" s="227">
        <f>Q24+R24+S24</f>
        <v>64.05192365183208</v>
      </c>
      <c r="Q24" s="241">
        <f>Q23*Q9</f>
        <v>15.67026716632635</v>
      </c>
      <c r="R24" s="241">
        <f>R23*R9</f>
        <v>21.207701485505726</v>
      </c>
      <c r="S24" s="242">
        <f>S23*S9</f>
        <v>27.173955</v>
      </c>
      <c r="T24" s="156">
        <f>D24+H24+L24+P24</f>
        <v>140.70493554183207</v>
      </c>
      <c r="V24" s="226">
        <f>W24+X24+Y24</f>
        <v>75.92216975</v>
      </c>
      <c r="W24" s="241">
        <f>W23*W9</f>
        <v>28.91028288</v>
      </c>
      <c r="X24" s="241">
        <f>X23*X9</f>
        <v>25.23845267</v>
      </c>
      <c r="Y24" s="242">
        <f>Y23*Y9</f>
        <v>21.7734342</v>
      </c>
      <c r="Z24" s="227">
        <f>AA24+AB24+AC24</f>
        <v>3.51184477</v>
      </c>
      <c r="AA24" s="241">
        <f>AA23*AA9</f>
        <v>3.51184477</v>
      </c>
      <c r="AB24" s="227">
        <f>AB23*AB9</f>
        <v>0</v>
      </c>
      <c r="AC24" s="227">
        <f>AC23*AC9</f>
        <v>0</v>
      </c>
      <c r="AD24" s="226">
        <f>AE24+AF24+AG24</f>
        <v>0</v>
      </c>
      <c r="AE24" s="241">
        <f>AE23*AE9</f>
        <v>0</v>
      </c>
      <c r="AF24" s="241">
        <f>AF23*AF9</f>
        <v>0</v>
      </c>
      <c r="AG24" s="243">
        <f>AG23*AG9</f>
        <v>0</v>
      </c>
      <c r="AH24" s="226">
        <f>AI24+AJ24+AK24</f>
        <v>53.52440577</v>
      </c>
      <c r="AI24" s="241">
        <f>AI23*AI9</f>
        <v>7.3748723300000005</v>
      </c>
      <c r="AJ24" s="241">
        <f>AJ23*AJ9</f>
        <v>19.90044968</v>
      </c>
      <c r="AK24" s="242">
        <f>AK23*AK9</f>
        <v>26.24908376</v>
      </c>
      <c r="AL24" s="156">
        <f>V24+Z24+AD24+AH24</f>
        <v>132.95842029</v>
      </c>
    </row>
    <row r="25" spans="1:38" ht="19.5" customHeight="1">
      <c r="A25" s="284" t="s">
        <v>118</v>
      </c>
      <c r="B25" s="285" t="s">
        <v>131</v>
      </c>
      <c r="C25" s="184" t="s">
        <v>83</v>
      </c>
      <c r="D25" s="233">
        <f aca="true" t="shared" si="17" ref="D25:R25">$T$25</f>
        <v>34.44</v>
      </c>
      <c r="E25" s="234">
        <f t="shared" si="17"/>
        <v>34.44</v>
      </c>
      <c r="F25" s="234">
        <f t="shared" si="17"/>
        <v>34.44</v>
      </c>
      <c r="G25" s="237">
        <f t="shared" si="17"/>
        <v>34.44</v>
      </c>
      <c r="H25" s="233">
        <f t="shared" si="17"/>
        <v>34.44</v>
      </c>
      <c r="I25" s="234">
        <f t="shared" si="17"/>
        <v>34.44</v>
      </c>
      <c r="J25" s="234">
        <f t="shared" si="17"/>
        <v>34.44</v>
      </c>
      <c r="K25" s="237">
        <f t="shared" si="17"/>
        <v>34.44</v>
      </c>
      <c r="L25" s="233">
        <f t="shared" si="17"/>
        <v>34.44</v>
      </c>
      <c r="M25" s="234">
        <f t="shared" si="17"/>
        <v>34.44</v>
      </c>
      <c r="N25" s="234">
        <f t="shared" si="17"/>
        <v>34.44</v>
      </c>
      <c r="O25" s="235">
        <f t="shared" si="17"/>
        <v>34.44</v>
      </c>
      <c r="P25" s="237">
        <f t="shared" si="17"/>
        <v>34.44</v>
      </c>
      <c r="Q25" s="234">
        <f t="shared" si="17"/>
        <v>34.44</v>
      </c>
      <c r="R25" s="234">
        <f t="shared" si="17"/>
        <v>34.44</v>
      </c>
      <c r="S25" s="235">
        <f>$T$25</f>
        <v>34.44</v>
      </c>
      <c r="T25" s="172">
        <v>34.44</v>
      </c>
      <c r="V25" s="233">
        <f aca="true" t="shared" si="18" ref="V25:AK25">$T$25</f>
        <v>34.44</v>
      </c>
      <c r="W25" s="234">
        <f t="shared" si="18"/>
        <v>34.44</v>
      </c>
      <c r="X25" s="234">
        <f t="shared" si="18"/>
        <v>34.44</v>
      </c>
      <c r="Y25" s="237">
        <f t="shared" si="18"/>
        <v>34.44</v>
      </c>
      <c r="Z25" s="233">
        <f t="shared" si="18"/>
        <v>34.44</v>
      </c>
      <c r="AA25" s="234">
        <f t="shared" si="18"/>
        <v>34.44</v>
      </c>
      <c r="AB25" s="234">
        <f t="shared" si="18"/>
        <v>34.44</v>
      </c>
      <c r="AC25" s="237">
        <f t="shared" si="18"/>
        <v>34.44</v>
      </c>
      <c r="AD25" s="233">
        <f t="shared" si="18"/>
        <v>34.44</v>
      </c>
      <c r="AE25" s="234">
        <f t="shared" si="18"/>
        <v>34.44</v>
      </c>
      <c r="AF25" s="234">
        <f t="shared" si="18"/>
        <v>34.44</v>
      </c>
      <c r="AG25" s="236">
        <f t="shared" si="18"/>
        <v>34.44</v>
      </c>
      <c r="AH25" s="233">
        <f t="shared" si="18"/>
        <v>34.44</v>
      </c>
      <c r="AI25" s="234">
        <f t="shared" si="18"/>
        <v>34.44</v>
      </c>
      <c r="AJ25" s="234">
        <f t="shared" si="18"/>
        <v>34.44</v>
      </c>
      <c r="AK25" s="235">
        <f t="shared" si="18"/>
        <v>34.44</v>
      </c>
      <c r="AL25" s="172">
        <v>34.44</v>
      </c>
    </row>
    <row r="26" spans="1:38" ht="19.5" customHeight="1">
      <c r="A26" s="284"/>
      <c r="B26" s="285"/>
      <c r="C26" s="184" t="s">
        <v>96</v>
      </c>
      <c r="D26" s="226">
        <f>E26+F26+G26</f>
        <v>341.52090968</v>
      </c>
      <c r="E26" s="198">
        <f>E25*E10+0.02</f>
        <v>141.3584882</v>
      </c>
      <c r="F26" s="227">
        <f>F25*F10</f>
        <v>109.73954712</v>
      </c>
      <c r="G26" s="242">
        <f>G25*G10</f>
        <v>90.42287436</v>
      </c>
      <c r="H26" s="226">
        <f>I26+J26+K26</f>
        <v>23.487563399999996</v>
      </c>
      <c r="I26" s="227">
        <f>I25*I10</f>
        <v>18.970791839999997</v>
      </c>
      <c r="J26" s="241">
        <f>J25*J10</f>
        <v>2.25854076</v>
      </c>
      <c r="K26" s="227">
        <f>K25*K10</f>
        <v>2.2582307999999998</v>
      </c>
      <c r="L26" s="226">
        <f>M26+N26+O26</f>
        <v>7.03016832</v>
      </c>
      <c r="M26" s="241">
        <f>M25*M10</f>
        <v>2.36013876</v>
      </c>
      <c r="N26" s="241">
        <f>N25*N10</f>
        <v>2.37563676</v>
      </c>
      <c r="O26" s="242">
        <f>O25*O10</f>
        <v>2.2943928</v>
      </c>
      <c r="P26" s="227">
        <f>Q26+R26+S26</f>
        <v>268.63676788</v>
      </c>
      <c r="Q26" s="241">
        <f>Q25*Q10</f>
        <v>55.5754836</v>
      </c>
      <c r="R26" s="198">
        <f>R25*R10+0.02</f>
        <v>93.40209691999999</v>
      </c>
      <c r="S26" s="195">
        <f>S25*S10+0.02</f>
        <v>119.65918735999999</v>
      </c>
      <c r="T26" s="156">
        <f>D26+H26+L26+P26</f>
        <v>640.6754092799999</v>
      </c>
      <c r="V26" s="226">
        <f>W26+X26+Y26</f>
        <v>357.4990818</v>
      </c>
      <c r="W26" s="227">
        <f>W25*W10</f>
        <v>136.349682</v>
      </c>
      <c r="X26" s="227">
        <f>X25*X10</f>
        <v>118.96970819999999</v>
      </c>
      <c r="Y26" s="242">
        <f>Y25*Y10</f>
        <v>102.17969159999998</v>
      </c>
      <c r="Z26" s="226">
        <f>AA26+AB26+AC26</f>
        <v>16.935835559999997</v>
      </c>
      <c r="AA26" s="227">
        <f>AA25*AA10</f>
        <v>16.343984159999998</v>
      </c>
      <c r="AB26" s="241">
        <f>AB25*AB10</f>
        <v>0.29652839999999997</v>
      </c>
      <c r="AC26" s="227">
        <f>AC25*AC10</f>
        <v>0.29532299999999995</v>
      </c>
      <c r="AD26" s="226">
        <f>AE26+AF26+AG26</f>
        <v>0.75798996</v>
      </c>
      <c r="AE26" s="241">
        <f>AE25*AE10</f>
        <v>0.15749412</v>
      </c>
      <c r="AF26" s="241">
        <f>AF25*AF10</f>
        <v>0.30517284</v>
      </c>
      <c r="AG26" s="243">
        <f>AG25*AG10</f>
        <v>0.29532299999999995</v>
      </c>
      <c r="AH26" s="226">
        <f>AI26+AJ26+AK26</f>
        <v>251.12418491999998</v>
      </c>
      <c r="AI26" s="241">
        <f>AI25*AI10</f>
        <v>34.2369762</v>
      </c>
      <c r="AJ26" s="241">
        <f>AJ25*AJ10</f>
        <v>93.27888023999999</v>
      </c>
      <c r="AK26" s="242">
        <f>AK25*AK10</f>
        <v>123.60832847999998</v>
      </c>
      <c r="AL26" s="156">
        <f>V26+Z26+AD26+AH26</f>
        <v>626.31709224</v>
      </c>
    </row>
    <row r="27" spans="1:38" ht="19.5" customHeight="1">
      <c r="A27" s="284" t="s">
        <v>119</v>
      </c>
      <c r="B27" s="285" t="s">
        <v>133</v>
      </c>
      <c r="C27" s="184" t="s">
        <v>83</v>
      </c>
      <c r="D27" s="233">
        <f aca="true" t="shared" si="19" ref="D27:R27">$T$27</f>
        <v>34.44</v>
      </c>
      <c r="E27" s="234">
        <f t="shared" si="19"/>
        <v>34.44</v>
      </c>
      <c r="F27" s="234">
        <f t="shared" si="19"/>
        <v>34.44</v>
      </c>
      <c r="G27" s="237">
        <f t="shared" si="19"/>
        <v>34.44</v>
      </c>
      <c r="H27" s="233">
        <f t="shared" si="19"/>
        <v>34.44</v>
      </c>
      <c r="I27" s="234">
        <f t="shared" si="19"/>
        <v>34.44</v>
      </c>
      <c r="J27" s="234">
        <f t="shared" si="19"/>
        <v>34.44</v>
      </c>
      <c r="K27" s="237">
        <f t="shared" si="19"/>
        <v>34.44</v>
      </c>
      <c r="L27" s="233">
        <f t="shared" si="19"/>
        <v>34.44</v>
      </c>
      <c r="M27" s="234">
        <f t="shared" si="19"/>
        <v>34.44</v>
      </c>
      <c r="N27" s="234">
        <f t="shared" si="19"/>
        <v>34.44</v>
      </c>
      <c r="O27" s="235">
        <f t="shared" si="19"/>
        <v>34.44</v>
      </c>
      <c r="P27" s="237">
        <f t="shared" si="19"/>
        <v>34.44</v>
      </c>
      <c r="Q27" s="234">
        <f t="shared" si="19"/>
        <v>34.44</v>
      </c>
      <c r="R27" s="234">
        <f t="shared" si="19"/>
        <v>34.44</v>
      </c>
      <c r="S27" s="235">
        <f>$T$27</f>
        <v>34.44</v>
      </c>
      <c r="T27" s="172">
        <v>34.44</v>
      </c>
      <c r="V27" s="233">
        <f aca="true" t="shared" si="20" ref="V27:AK27">$T$27</f>
        <v>34.44</v>
      </c>
      <c r="W27" s="234">
        <f t="shared" si="20"/>
        <v>34.44</v>
      </c>
      <c r="X27" s="234">
        <f t="shared" si="20"/>
        <v>34.44</v>
      </c>
      <c r="Y27" s="237">
        <f t="shared" si="20"/>
        <v>34.44</v>
      </c>
      <c r="Z27" s="233">
        <f t="shared" si="20"/>
        <v>34.44</v>
      </c>
      <c r="AA27" s="234">
        <f t="shared" si="20"/>
        <v>34.44</v>
      </c>
      <c r="AB27" s="234">
        <f t="shared" si="20"/>
        <v>34.44</v>
      </c>
      <c r="AC27" s="237">
        <f t="shared" si="20"/>
        <v>34.44</v>
      </c>
      <c r="AD27" s="233">
        <f t="shared" si="20"/>
        <v>34.44</v>
      </c>
      <c r="AE27" s="234">
        <f t="shared" si="20"/>
        <v>34.44</v>
      </c>
      <c r="AF27" s="234">
        <f t="shared" si="20"/>
        <v>34.44</v>
      </c>
      <c r="AG27" s="236">
        <f t="shared" si="20"/>
        <v>34.44</v>
      </c>
      <c r="AH27" s="233">
        <f t="shared" si="20"/>
        <v>34.44</v>
      </c>
      <c r="AI27" s="234">
        <f t="shared" si="20"/>
        <v>34.44</v>
      </c>
      <c r="AJ27" s="234">
        <f t="shared" si="20"/>
        <v>34.44</v>
      </c>
      <c r="AK27" s="235">
        <f t="shared" si="20"/>
        <v>34.44</v>
      </c>
      <c r="AL27" s="172">
        <v>34.44</v>
      </c>
    </row>
    <row r="28" spans="1:38" ht="19.5" customHeight="1" thickBot="1">
      <c r="A28" s="286"/>
      <c r="B28" s="287"/>
      <c r="C28" s="180" t="s">
        <v>96</v>
      </c>
      <c r="D28" s="228">
        <f>E28+F28+G28</f>
        <v>75.26589924</v>
      </c>
      <c r="E28" s="229">
        <f>E27*E11</f>
        <v>31.66179408</v>
      </c>
      <c r="F28" s="229">
        <f>F27*F11</f>
        <v>24.25698744</v>
      </c>
      <c r="G28" s="230">
        <f>G27*G11</f>
        <v>19.34711772</v>
      </c>
      <c r="H28" s="232">
        <f>I28+J28+K28</f>
        <v>3.51997464</v>
      </c>
      <c r="I28" s="229">
        <f>I27*I11</f>
        <v>3.51997464</v>
      </c>
      <c r="J28" s="229">
        <f>J27*J11</f>
        <v>0</v>
      </c>
      <c r="K28" s="246">
        <f>K27*K11</f>
        <v>0</v>
      </c>
      <c r="L28" s="228">
        <f>M28+N28+O28</f>
        <v>0</v>
      </c>
      <c r="M28" s="229">
        <f>M27*M11</f>
        <v>0</v>
      </c>
      <c r="N28" s="229">
        <f>N27*N11</f>
        <v>0</v>
      </c>
      <c r="O28" s="230">
        <f>O27*O11</f>
        <v>0</v>
      </c>
      <c r="P28" s="232">
        <f>Q28+R28+S28</f>
        <v>70.60634896851292</v>
      </c>
      <c r="Q28" s="229">
        <f>Q27*Q11</f>
        <v>10.527319973897521</v>
      </c>
      <c r="R28" s="229">
        <f>R27*R11</f>
        <v>22.973372994615396</v>
      </c>
      <c r="S28" s="230">
        <f>S27*S11</f>
        <v>37.105655999999996</v>
      </c>
      <c r="T28" s="157">
        <f>D28+H28+L28+P28</f>
        <v>149.39222284851292</v>
      </c>
      <c r="V28" s="228">
        <f>W28+X28+Y28</f>
        <v>41.56432728</v>
      </c>
      <c r="W28" s="229">
        <f>W27*W11</f>
        <v>15.869228759999999</v>
      </c>
      <c r="X28" s="229">
        <f>X27*X11</f>
        <v>13.84167708</v>
      </c>
      <c r="Y28" s="230">
        <f>Y27*Y11</f>
        <v>11.853421439999998</v>
      </c>
      <c r="Z28" s="232">
        <f>AA28+AB28+AC28</f>
        <v>1.8476026799999998</v>
      </c>
      <c r="AA28" s="229">
        <f>AA27*AA11</f>
        <v>1.8476026799999998</v>
      </c>
      <c r="AB28" s="229">
        <f>AB27*AB11</f>
        <v>0</v>
      </c>
      <c r="AC28" s="246">
        <f>AC27*AC11</f>
        <v>0</v>
      </c>
      <c r="AD28" s="228">
        <f>AE28+AF28+AG28</f>
        <v>0</v>
      </c>
      <c r="AE28" s="229">
        <f>AE27*AE11</f>
        <v>0</v>
      </c>
      <c r="AF28" s="229">
        <f>AF27*AF11</f>
        <v>0</v>
      </c>
      <c r="AG28" s="231">
        <f>AG27*AG11</f>
        <v>0</v>
      </c>
      <c r="AH28" s="228">
        <f>AI28+AJ28+AK28</f>
        <v>29.102695439999998</v>
      </c>
      <c r="AI28" s="229">
        <f>AI27*AI11</f>
        <v>3.91851432</v>
      </c>
      <c r="AJ28" s="229">
        <f>AJ27*AJ11</f>
        <v>10.81236912</v>
      </c>
      <c r="AK28" s="230">
        <f>AK27*AK11</f>
        <v>14.371811999999998</v>
      </c>
      <c r="AL28" s="157">
        <f>V28+Z28+AD28+AH28</f>
        <v>72.5146254</v>
      </c>
    </row>
    <row r="29" ht="19.5" customHeight="1"/>
    <row r="31" spans="1:27" ht="15">
      <c r="A31" s="178" t="s">
        <v>139</v>
      </c>
      <c r="B31" s="179"/>
      <c r="C31" s="274"/>
      <c r="D31" s="274"/>
      <c r="E31" s="274"/>
      <c r="F31" s="274"/>
      <c r="G31" s="274"/>
      <c r="H31" s="274"/>
      <c r="I31" s="274"/>
      <c r="J31" s="274"/>
      <c r="K31" s="274" t="s">
        <v>134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3"/>
      <c r="V31" s="273"/>
      <c r="W31" s="273"/>
      <c r="Y31" s="283" t="s">
        <v>144</v>
      </c>
      <c r="Z31" s="283"/>
      <c r="AA31" s="283"/>
    </row>
    <row r="32" spans="1:28" ht="15">
      <c r="A32" s="178"/>
      <c r="B32" s="179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276"/>
      <c r="N32" s="276"/>
      <c r="O32" s="276"/>
      <c r="P32" s="276"/>
      <c r="Q32" s="276"/>
      <c r="R32" s="276"/>
      <c r="S32" s="276"/>
      <c r="T32" s="276"/>
      <c r="U32" s="1"/>
      <c r="V32" s="277" t="s">
        <v>140</v>
      </c>
      <c r="W32" s="1"/>
      <c r="Y32" s="282" t="s">
        <v>141</v>
      </c>
      <c r="Z32" s="282"/>
      <c r="AA32" s="282"/>
      <c r="AB32" s="5"/>
    </row>
    <row r="33" spans="1:20" ht="15">
      <c r="A33" s="179"/>
      <c r="B33" s="179"/>
      <c r="C33" s="179"/>
      <c r="D33" s="179"/>
      <c r="E33" s="288" t="s">
        <v>129</v>
      </c>
      <c r="F33" s="288"/>
      <c r="G33" s="179" t="s">
        <v>128</v>
      </c>
      <c r="H33" s="179"/>
      <c r="I33" s="179"/>
      <c r="J33" s="179"/>
      <c r="K33" s="179"/>
      <c r="L33" s="177"/>
      <c r="M33" s="177"/>
      <c r="N33" s="177"/>
      <c r="O33" s="177"/>
      <c r="P33" s="177"/>
      <c r="Q33" s="177"/>
      <c r="R33" s="177"/>
      <c r="S33" s="177"/>
      <c r="T33" s="177"/>
    </row>
    <row r="34" spans="1:27" ht="15">
      <c r="A34" s="177" t="s">
        <v>127</v>
      </c>
      <c r="B34" s="177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3"/>
      <c r="V34" s="273"/>
      <c r="W34" s="273"/>
      <c r="Y34" s="283" t="s">
        <v>142</v>
      </c>
      <c r="Z34" s="283"/>
      <c r="AA34" s="283"/>
    </row>
    <row r="35" spans="22:27" ht="13.5">
      <c r="V35" s="277" t="s">
        <v>140</v>
      </c>
      <c r="Y35" s="282" t="s">
        <v>141</v>
      </c>
      <c r="Z35" s="282"/>
      <c r="AA35" s="282"/>
    </row>
  </sheetData>
  <sheetProtection/>
  <mergeCells count="21">
    <mergeCell ref="B1:T1"/>
    <mergeCell ref="M4:P4"/>
    <mergeCell ref="S5:T5"/>
    <mergeCell ref="A15:A16"/>
    <mergeCell ref="B15:B16"/>
    <mergeCell ref="A17:A18"/>
    <mergeCell ref="B17:B18"/>
    <mergeCell ref="A20:A21"/>
    <mergeCell ref="B20:B21"/>
    <mergeCell ref="A23:A24"/>
    <mergeCell ref="AK6:AL6"/>
    <mergeCell ref="B23:B24"/>
    <mergeCell ref="Y32:AA32"/>
    <mergeCell ref="Y35:AA35"/>
    <mergeCell ref="Y31:AA31"/>
    <mergeCell ref="Y34:AA34"/>
    <mergeCell ref="A25:A26"/>
    <mergeCell ref="B25:B26"/>
    <mergeCell ref="A27:A28"/>
    <mergeCell ref="B27:B28"/>
    <mergeCell ref="E33:F33"/>
  </mergeCells>
  <printOptions/>
  <pageMargins left="0.5118110236220472" right="0.5118110236220472" top="0.5511811023622047" bottom="0.5511811023622047" header="0.31496062992125984" footer="0.31496062992125984"/>
  <pageSetup blackAndWhite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Нежиденко</cp:lastModifiedBy>
  <cp:lastPrinted>2020-04-09T10:54:08Z</cp:lastPrinted>
  <dcterms:created xsi:type="dcterms:W3CDTF">2002-01-04T15:06:08Z</dcterms:created>
  <dcterms:modified xsi:type="dcterms:W3CDTF">2020-04-09T10:54:12Z</dcterms:modified>
  <cp:category/>
  <cp:version/>
  <cp:contentType/>
  <cp:contentStatus/>
</cp:coreProperties>
</file>